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T:\Compras\01- LICITAÇÕES\2024\04 - REFORMA DOS AMBIENTES\5-PLANILHA DE PREÇOS\"/>
    </mc:Choice>
  </mc:AlternateContent>
  <xr:revisionPtr revIDLastSave="0" documentId="13_ncr:1_{F033D40E-A835-45A9-BF5C-1EACC902E370}" xr6:coauthVersionLast="47" xr6:coauthVersionMax="47" xr10:uidLastSave="{00000000-0000-0000-0000-000000000000}"/>
  <bookViews>
    <workbookView xWindow="-120" yWindow="-120" windowWidth="29040" windowHeight="15720" tabRatio="685" xr2:uid="{00000000-000D-0000-FFFF-FFFF00000000}"/>
  </bookViews>
  <sheets>
    <sheet name="PLAN ORÇAM" sheetId="29" r:id="rId1"/>
    <sheet name="Planilha1" sheetId="30" r:id="rId2"/>
    <sheet name="DADOS CURVA ABC" sheetId="3" state="hidden" r:id="rId3"/>
    <sheet name="PLANILHA CÁLCULO" sheetId="28" state="hidden" r:id="rId4"/>
    <sheet name="COMPOSIÇÕES" sheetId="14" state="hidden" r:id="rId5"/>
    <sheet name="BDI" sheetId="16" state="hidden" r:id="rId6"/>
    <sheet name="CRONOGRAMA" sheetId="13" state="hidden" r:id="rId7"/>
  </sheets>
  <definedNames>
    <definedName name="___LG1" localSheetId="0">#REF!</definedName>
    <definedName name="___LG1" localSheetId="3">#REF!</definedName>
    <definedName name="___LG1">#REF!</definedName>
    <definedName name="___TR1" localSheetId="0">#REF!</definedName>
    <definedName name="___TR1" localSheetId="3">#REF!</definedName>
    <definedName name="___TR1">#REF!</definedName>
    <definedName name="___TR2" localSheetId="0">#REF!</definedName>
    <definedName name="___TR2" localSheetId="3">#REF!</definedName>
    <definedName name="___TR2">#REF!</definedName>
    <definedName name="___TR3" localSheetId="0">#REF!</definedName>
    <definedName name="___TR3" localSheetId="3">#REF!</definedName>
    <definedName name="___TR3">#REF!</definedName>
    <definedName name="__LG1" localSheetId="0">#REF!</definedName>
    <definedName name="__LG1" localSheetId="3">#REF!</definedName>
    <definedName name="__LG1">#REF!</definedName>
    <definedName name="__TR1" localSheetId="0">#REF!</definedName>
    <definedName name="__TR1" localSheetId="3">#REF!</definedName>
    <definedName name="__TR1">#REF!</definedName>
    <definedName name="__TR2" localSheetId="0">#REF!</definedName>
    <definedName name="__TR2">#REF!</definedName>
    <definedName name="__TR3" localSheetId="0">#REF!</definedName>
    <definedName name="__TR3">#REF!</definedName>
    <definedName name="_xlnm._FilterDatabase" localSheetId="2" hidden="1">'DADOS CURVA ABC'!$A$12:$L$12</definedName>
    <definedName name="_LG1" localSheetId="0">#REF!</definedName>
    <definedName name="_LG1" localSheetId="3">#REF!</definedName>
    <definedName name="_LG1">#REF!</definedName>
    <definedName name="_TR1" localSheetId="0">#REF!</definedName>
    <definedName name="_TR1" localSheetId="3">#REF!</definedName>
    <definedName name="_TR1">#REF!</definedName>
    <definedName name="_TR2" localSheetId="0">#REF!</definedName>
    <definedName name="_TR2" localSheetId="3">#REF!</definedName>
    <definedName name="_TR2">#REF!</definedName>
    <definedName name="_TR3" localSheetId="0">#REF!</definedName>
    <definedName name="_TR3" localSheetId="3">#REF!</definedName>
    <definedName name="_TR3">#REF!</definedName>
    <definedName name="AC" localSheetId="0">#REF!</definedName>
    <definedName name="AC" localSheetId="3">#REF!</definedName>
    <definedName name="AC">#REF!</definedName>
    <definedName name="ACOMPANHAMENTO" localSheetId="0" hidden="1">IF(VALUE(#REF!)=2,"BM","PLE")</definedName>
    <definedName name="ACOMPANHAMENTO" localSheetId="3" hidden="1">IF(VALUE(#REF!)=2,"BM","PLE")</definedName>
    <definedName name="ACOMPANHAMENTO" hidden="1">IF(VALUE(#REF!)=2,"BM","PLE")</definedName>
    <definedName name="_xlnm.Print_Area" localSheetId="5">BDI!$A$1:$E$34</definedName>
    <definedName name="_xlnm.Print_Area" localSheetId="4">COMPOSIÇÕES!$A$1:$I$107</definedName>
    <definedName name="_xlnm.Print_Area" localSheetId="6">CRONOGRAMA!$A$1:$Q$42</definedName>
    <definedName name="_xlnm.Print_Area" localSheetId="2">'DADOS CURVA ABC'!$N$1:$W$26</definedName>
    <definedName name="_xlnm.Print_Area" localSheetId="0">'PLAN ORÇAM'!$A$1:$K$732</definedName>
    <definedName name="_xlnm.Print_Area" localSheetId="3">'PLANILHA CÁLCULO'!$A$1:$BD$42</definedName>
    <definedName name="AUTOEVENTO" localSheetId="0" hidden="1">#REF!</definedName>
    <definedName name="AUTOEVENTO" localSheetId="3" hidden="1">#REF!</definedName>
    <definedName name="AUTOEVENTO" hidden="1">#REF!</definedName>
    <definedName name="BDI" localSheetId="0">'PLAN ORÇAM'!$H$8</definedName>
    <definedName name="BDI" localSheetId="3">#REF!</definedName>
    <definedName name="BDI">'DADOS CURVA ABC'!$G$6</definedName>
    <definedName name="BDI.Opcao" localSheetId="0" hidden="1">#REF!</definedName>
    <definedName name="BDI.Opcao" localSheetId="3" hidden="1">#REF!</definedName>
    <definedName name="BDI.Opcao" hidden="1">#REF!</definedName>
    <definedName name="BDI.TipoObra" localSheetId="0" hidden="1">#REF!</definedName>
    <definedName name="BDI.TipoObra" localSheetId="3" hidden="1">#REF!</definedName>
    <definedName name="BDI.TipoObra" hidden="1">#REF!</definedName>
    <definedName name="BM.AFAcumulado" localSheetId="0" hidden="1">#REF!</definedName>
    <definedName name="BM.AFAcumulado" localSheetId="3" hidden="1">#REF!</definedName>
    <definedName name="BM.AFAcumulado" hidden="1">#REF!</definedName>
    <definedName name="BM.AFAnterior" localSheetId="0" hidden="1">#REF!</definedName>
    <definedName name="BM.AFAnterior" localSheetId="3" hidden="1">#REF!</definedName>
    <definedName name="BM.AFAnterior" hidden="1">#REF!</definedName>
    <definedName name="BM.MaxMed" localSheetId="0" hidden="1">IF('PLAN ORÇAM'!RegimeExecucao="Global",1,#REF!)</definedName>
    <definedName name="BM.MaxMed" localSheetId="3" hidden="1">IF('PLANILHA CÁLCULO'!RegimeExecucao="Global",1,#REF!)</definedName>
    <definedName name="BM.MaxMed" hidden="1">IF(RegimeExecucao="Global",1,#REF!)</definedName>
    <definedName name="BM.MEDAcumulado" localSheetId="0" hidden="1">IF(COUNTIF(#REF!,'PLAN ORÇAM'!BM.medicao)&gt;0,SUM(OFFSET(#REF!,0,0,1,MATCH('PLAN ORÇAM'!BM.medicao,#REF!,0))),0)</definedName>
    <definedName name="BM.MEDAcumulado" localSheetId="3" hidden="1">IF(COUNTIF(#REF!,'PLANILHA CÁLCULO'!BM.medicao)&gt;0,SUM(OFFSET(#REF!,0,0,1,MATCH('PLANILHA CÁLCULO'!BM.medicao,#REF!,0))),0)</definedName>
    <definedName name="BM.MEDAcumulado" hidden="1">IF(COUNTIF(#REF!,BM.medicao)&gt;0,SUM(OFFSET(#REF!,0,0,1,MATCH(BM.medicao,#REF!,0))),0)</definedName>
    <definedName name="BM.MEDAnterior" localSheetId="0" hidden="1">IF(COUNTIF(#REF!,'PLAN ORÇAM'!BM.medicao-1)&gt;0,SUM(OFFSET(#REF!,0,0,1,MATCH('PLAN ORÇAM'!BM.medicao-1,#REF!,0))),0)</definedName>
    <definedName name="BM.MEDAnterior" localSheetId="3" hidden="1">IF(COUNTIF(#REF!,'PLANILHA CÁLCULO'!BM.medicao-1)&gt;0,SUM(OFFSET(#REF!,0,0,1,MATCH('PLANILHA CÁLCULO'!BM.medicao-1,#REF!,0))),0)</definedName>
    <definedName name="BM.MEDAnterior" hidden="1">IF(COUNTIF(#REF!,BM.medicao-1)&gt;0,SUM(OFFSET(#REF!,0,0,1,MATCH(BM.medicao-1,#REF!,0))),0)</definedName>
    <definedName name="BM.medicao" localSheetId="0" hidden="1">OFFSET(#REF!,1,0)</definedName>
    <definedName name="BM.medicao" localSheetId="3" hidden="1">OFFSET(#REF!,1,0)</definedName>
    <definedName name="BM.medicao" hidden="1">OFFSET(#REF!,1,0)</definedName>
    <definedName name="BM.MinMed" localSheetId="0" hidden="1">IF('PLAN ORÇAM'!RegimeExecucao="Global",-1,-#REF!)</definedName>
    <definedName name="BM.MinMed" localSheetId="3" hidden="1">IF('PLANILHA CÁLCULO'!RegimeExecucao="Global",-1,-#REF!)</definedName>
    <definedName name="BM.MinMed" hidden="1">IF(RegimeExecucao="Global",-1,-#REF!)</definedName>
    <definedName name="CAIXA.Modo" localSheetId="0" hidden="1">#REF!</definedName>
    <definedName name="CAIXA.Modo" localSheetId="3" hidden="1">#REF!</definedName>
    <definedName name="CAIXA.Modo" hidden="1">#REF!</definedName>
    <definedName name="CÁLCULO.NúmeroDeEventos" localSheetId="0" hidden="1">IF('PLAN ORÇAM'!AUTOEVENTO&lt;&gt;"manual",MAX(#REF!),MAX(OFFSET(#REF!,1,0)))</definedName>
    <definedName name="CÁLCULO.NúmeroDeEventos" localSheetId="3" hidden="1">IF('PLANILHA CÁLCULO'!AUTOEVENTO&lt;&gt;"manual",MAX(#REF!),MAX(OFFSET(#REF!,1,0)))</definedName>
    <definedName name="CÁLCULO.NúmeroDeEventos" hidden="1">IF(AUTOEVENTO&lt;&gt;"manual",MAX(#REF!),MAX(OFFSET(#REF!,1,0)))</definedName>
    <definedName name="CÁLCULO.NúmeroDeFrentes" localSheetId="0" hidden="1">COLUMN(#REF!)-COLUMN(#REF!)</definedName>
    <definedName name="CÁLCULO.NúmeroDeFrentes" localSheetId="3" hidden="1">COLUMN(#REF!)-COLUMN(#REF!)</definedName>
    <definedName name="CÁLCULO.NúmeroDeFrentes" hidden="1">COLUMN(#REF!)-COLUMN(#REF!)</definedName>
    <definedName name="CÁLCULO.TotalAdmLocal" localSheetId="0" hidden="1">IF('PLAN ORÇAM'!AUTOEVENTO="manual",SUMIF(#REF!,1,#REF!),0)</definedName>
    <definedName name="CÁLCULO.TotalAdmLocal" localSheetId="3" hidden="1">IF('PLANILHA CÁLCULO'!AUTOEVENTO="manual",SUMIF(#REF!,1,#REF!),0)</definedName>
    <definedName name="CÁLCULO.TotalAdmLocal" hidden="1">IF(AUTOEVENTO="manual",SUMIF(#REF!,1,#REF!),0)</definedName>
    <definedName name="CONCATENAR" localSheetId="4">CONCATENATE(COMPOSIÇÕES!$B1," ",COMPOSIÇÕES!$C1)</definedName>
    <definedName name="CP" localSheetId="0">#REF!</definedName>
    <definedName name="CP" localSheetId="3">#REF!</definedName>
    <definedName name="CP">#REF!</definedName>
    <definedName name="CPBR" localSheetId="0">#REF!</definedName>
    <definedName name="CPBR" localSheetId="3">#REF!</definedName>
    <definedName name="CPBR">#REF!</definedName>
    <definedName name="CRONO.LinhasNecessarias" localSheetId="0" hidden="1">COUNTIF(#REF!,"Manual")+COUNTIF(#REF!,"SemiAuto")+COUNT('PLAN ORÇAM'!ORÇAMENTO.ListaCrono)</definedName>
    <definedName name="CRONO.LinhasNecessarias" localSheetId="3" hidden="1">COUNTIF(#REF!,"Manual")+COUNTIF(#REF!,"SemiAuto")+COUNT('PLANILHA CÁLCULO'!ORÇAMENTO.ListaCrono)</definedName>
    <definedName name="CRONO.LinhasNecessarias" hidden="1">COUNTIF(#REF!,"Manual")+COUNTIF(#REF!,"SemiAuto")+COUNT(ORÇAMENTO.ListaCrono)</definedName>
    <definedName name="CRONO.MaxParc" localSheetId="0" hidden="1">#REF!+#REF!</definedName>
    <definedName name="CRONO.MaxParc" localSheetId="3" hidden="1">#REF!+#REF!</definedName>
    <definedName name="CRONO.MaxParc" hidden="1">#REF!+#REF!</definedName>
    <definedName name="CRONO.NivelExibicao" localSheetId="0" hidden="1">#REF!</definedName>
    <definedName name="CRONO.NivelExibicao" localSheetId="3" hidden="1">#REF!</definedName>
    <definedName name="CRONO.NivelExibicao" hidden="1">#REF!</definedName>
    <definedName name="CRONOPLE.ValorDoEvento" localSheetId="0" hidden="1">SUMIF(#REF!,#REF!,OFFSET(#REF!,0,#REF!))</definedName>
    <definedName name="CRONOPLE.ValorDoEvento" localSheetId="3" hidden="1">SUMIF(#REF!,#REF!,OFFSET(#REF!,0,#REF!))</definedName>
    <definedName name="CRONOPLE.ValorDoEvento" hidden="1">SUMIF(#REF!,#REF!,OFFSET(#REF!,0,#REF!))</definedName>
    <definedName name="DESONERACAO" localSheetId="0" hidden="1">IF(OR('PLAN ORÇAM'!Import.Desoneracao="DESONERADO",'PLAN ORÇAM'!Import.Desoneracao="SIM"),"SIM","NÃO")</definedName>
    <definedName name="DESONERACAO" localSheetId="3" hidden="1">IF(OR('PLANILHA CÁLCULO'!Import.Desoneracao="DESONERADO",'PLANILHA CÁLCULO'!Import.Desoneracao="SIM"),"SIM","NÃO")</definedName>
    <definedName name="DESONERACAO" hidden="1">IF(OR(Import.Desoneracao="DESONERADO",Import.Desoneracao="SIM"),"SIM","NÃO")</definedName>
    <definedName name="DF" localSheetId="0">#REF!</definedName>
    <definedName name="DF" localSheetId="3">#REF!</definedName>
    <definedName name="DF">#REF!</definedName>
    <definedName name="DMTAEM" localSheetId="0">#REF!</definedName>
    <definedName name="DMTAEM" localSheetId="3">#REF!</definedName>
    <definedName name="DMTAEM">#REF!</definedName>
    <definedName name="DMTCASC" localSheetId="0">#REF!</definedName>
    <definedName name="DMTCASC" localSheetId="3">#REF!</definedName>
    <definedName name="DMTCASC">#REF!</definedName>
    <definedName name="DMTREF" localSheetId="0">#REF!</definedName>
    <definedName name="DMTREF" localSheetId="3">#REF!</definedName>
    <definedName name="DMTREF">#REF!</definedName>
    <definedName name="DMTUSINA" localSheetId="0">#REF!</definedName>
    <definedName name="DMTUSINA" localSheetId="3">#REF!</definedName>
    <definedName name="DMTUSINA">#REF!</definedName>
    <definedName name="EVENTOS.Lista" localSheetId="0" hidden="1">#REF!:OFFSET(#REF!,-1,0)</definedName>
    <definedName name="EVENTOS.Lista" localSheetId="3" hidden="1">#REF!:OFFSET(#REF!,-1,0)</definedName>
    <definedName name="EVENTOS.Lista" hidden="1">#REF!:OFFSET(#REF!,-1,0)</definedName>
    <definedName name="EVENTOS.ListaValidacao" localSheetId="0" hidden="1">#REF!:OFFSET(#REF!,-1,0)</definedName>
    <definedName name="EVENTOS.ListaValidacao" localSheetId="3" hidden="1">#REF!:OFFSET(#REF!,-1,0)</definedName>
    <definedName name="EVENTOS.ListaValidacao" hidden="1">#REF!:OFFSET(#REF!,-1,0)</definedName>
    <definedName name="Excel_BuiltIn_Database" localSheetId="0" hidden="1">TEXT('PLAN ORÇAM'!Import.DataBase,"mm-aaaa")</definedName>
    <definedName name="Excel_BuiltIn_Database" localSheetId="3" hidden="1">TEXT('PLANILHA CÁLCULO'!Import.DataBase,"mm-aaaa")</definedName>
    <definedName name="Excel_BuiltIn_Database" hidden="1">TEXT(Import.DataBase,"mm-aaaa")</definedName>
    <definedName name="Import.Apelido" localSheetId="0" hidden="1">#REF!</definedName>
    <definedName name="Import.Apelido" localSheetId="3" hidden="1">#REF!</definedName>
    <definedName name="Import.Apelido" hidden="1">#REF!</definedName>
    <definedName name="Import.BMAFAcumulado" localSheetId="0" hidden="1">OFFSET(#REF!,1,0):OFFSET(#REF!,-1,0)</definedName>
    <definedName name="Import.BMAFAcumulado" localSheetId="3" hidden="1">OFFSET(#REF!,1,0):OFFSET(#REF!,-1,0)</definedName>
    <definedName name="Import.BMAFAcumulado" hidden="1">OFFSET(#REF!,1,0):OFFSET(#REF!,-1,0)</definedName>
    <definedName name="Import.CNPJ" localSheetId="0" hidden="1">#REF!</definedName>
    <definedName name="Import.CNPJ" localSheetId="3" hidden="1">#REF!</definedName>
    <definedName name="Import.CNPJ" hidden="1">#REF!</definedName>
    <definedName name="Import.Código" localSheetId="0" hidden="1">OFFSET(#REF!,1,0):OFFSET(#REF!,-1,0)</definedName>
    <definedName name="Import.Código" localSheetId="3" hidden="1">OFFSET(#REF!,1,0):OFFSET(#REF!,-1,0)</definedName>
    <definedName name="Import.Código" hidden="1">OFFSET(#REF!,1,0):OFFSET(#REF!,-1,0)</definedName>
    <definedName name="Import.Contrapartida" localSheetId="0" hidden="1">#REF!</definedName>
    <definedName name="Import.Contrapartida" localSheetId="3" hidden="1">#REF!</definedName>
    <definedName name="Import.Contrapartida" hidden="1">#REF!</definedName>
    <definedName name="Import.CPMaxPerc" localSheetId="0" hidden="1">#REF!</definedName>
    <definedName name="Import.CPMaxPerc" localSheetId="3" hidden="1">#REF!</definedName>
    <definedName name="Import.CPMaxPerc" hidden="1">#REF!</definedName>
    <definedName name="Import.CPMinAbsoluta" localSheetId="0" hidden="1">#REF!</definedName>
    <definedName name="Import.CPMinAbsoluta" localSheetId="3" hidden="1">#REF!</definedName>
    <definedName name="Import.CPMinAbsoluta" hidden="1">#REF!</definedName>
    <definedName name="Import.CPMinPerc" localSheetId="0" hidden="1">#REF!</definedName>
    <definedName name="Import.CPMinPerc" localSheetId="3" hidden="1">#REF!</definedName>
    <definedName name="Import.CPMinPerc" hidden="1">#REF!</definedName>
    <definedName name="Import.CR" localSheetId="0" hidden="1">#REF!</definedName>
    <definedName name="Import.CR" localSheetId="3" hidden="1">#REF!</definedName>
    <definedName name="Import.CR" hidden="1">#REF!</definedName>
    <definedName name="Import.CRONOPLE" localSheetId="0" hidden="1">OFFSET(#REF!,1,1):OFFSET(#REF!,-1,-1)</definedName>
    <definedName name="Import.CRONOPLE" localSheetId="3" hidden="1">OFFSET(#REF!,1,1):OFFSET(#REF!,-1,-1)</definedName>
    <definedName name="Import.CRONOPLE" hidden="1">OFFSET(#REF!,1,1):OFFSET(#REF!,-1,-1)</definedName>
    <definedName name="Import.CTEF" localSheetId="0" hidden="1">#REF!</definedName>
    <definedName name="Import.CTEF" localSheetId="3" hidden="1">#REF!</definedName>
    <definedName name="Import.CTEF" hidden="1">#REF!</definedName>
    <definedName name="Import.CustoUnitário" localSheetId="0" hidden="1">OFFSET(#REF!,1,0):OFFSET(#REF!,-1,0)</definedName>
    <definedName name="Import.CustoUnitário" localSheetId="3" hidden="1">OFFSET(#REF!,1,0):OFFSET(#REF!,-1,0)</definedName>
    <definedName name="Import.CustoUnitário" hidden="1">OFFSET(#REF!,1,0):OFFSET(#REF!,-1,0)</definedName>
    <definedName name="Import.DataBase" localSheetId="0" hidden="1">OFFSET(#REF!,0,-1)</definedName>
    <definedName name="Import.DataBase" localSheetId="3" hidden="1">OFFSET(#REF!,0,-1)</definedName>
    <definedName name="Import.DataBase" hidden="1">OFFSET(#REF!,0,-1)</definedName>
    <definedName name="Import.DataBaseLicit" localSheetId="0" hidden="1">OFFSET(#REF!,0,-1)</definedName>
    <definedName name="Import.DataBaseLicit" localSheetId="3" hidden="1">OFFSET(#REF!,0,-1)</definedName>
    <definedName name="Import.DataBaseLicit" hidden="1">OFFSET(#REF!,0,-1)</definedName>
    <definedName name="Import.DataInicioObra" localSheetId="0" hidden="1">#REF!</definedName>
    <definedName name="Import.DataInicioObra" localSheetId="3" hidden="1">#REF!</definedName>
    <definedName name="Import.DataInicioObra" hidden="1">#REF!</definedName>
    <definedName name="Import.DescLote" localSheetId="0" hidden="1">#REF!</definedName>
    <definedName name="Import.DescLote" localSheetId="3" hidden="1">#REF!</definedName>
    <definedName name="Import.DescLote" hidden="1">#REF!</definedName>
    <definedName name="Import.Descrição" localSheetId="0" hidden="1">OFFSET(#REF!,1,0):OFFSET(#REF!,-1,0)</definedName>
    <definedName name="Import.Descrição" localSheetId="3" hidden="1">OFFSET(#REF!,1,0):OFFSET(#REF!,-1,0)</definedName>
    <definedName name="Import.Descrição" hidden="1">OFFSET(#REF!,1,0):OFFSET(#REF!,-1,0)</definedName>
    <definedName name="Import.Desoneracao" localSheetId="0" hidden="1">OFFSET(#REF!,0,-1)</definedName>
    <definedName name="Import.Desoneracao" localSheetId="3" hidden="1">OFFSET(#REF!,0,-1)</definedName>
    <definedName name="Import.Desoneracao" hidden="1">OFFSET(#REF!,0,-1)</definedName>
    <definedName name="Import.empresa" localSheetId="0" hidden="1">#REF!</definedName>
    <definedName name="Import.empresa" localSheetId="3" hidden="1">#REF!</definedName>
    <definedName name="Import.empresa" hidden="1">#REF!</definedName>
    <definedName name="Import.Eventos.Nomes" localSheetId="0" hidden="1">OFFSET(#REF!,1,0):OFFSET(#REF!,-1,0)</definedName>
    <definedName name="Import.Eventos.Nomes" localSheetId="3" hidden="1">OFFSET(#REF!,1,0):OFFSET(#REF!,-1,0)</definedName>
    <definedName name="Import.Eventos.Nomes" hidden="1">OFFSET(#REF!,1,0):OFFSET(#REF!,-1,0)</definedName>
    <definedName name="Import.Fonte" localSheetId="0" hidden="1">OFFSET(#REF!,1,0):OFFSET(#REF!,-1,0)</definedName>
    <definedName name="Import.Fonte" localSheetId="3" hidden="1">OFFSET(#REF!,1,0):OFFSET(#REF!,-1,0)</definedName>
    <definedName name="Import.Fonte" hidden="1">OFFSET(#REF!,1,0):OFFSET(#REF!,-1,0)</definedName>
    <definedName name="Import.FrenteDeObra" localSheetId="0" hidden="1">#REF!:OFFSET(#REF!,0,-1)</definedName>
    <definedName name="Import.FrenteDeObra" localSheetId="3" hidden="1">#REF!:OFFSET(#REF!,0,-1)</definedName>
    <definedName name="Import.FrenteDeObra" hidden="1">#REF!:OFFSET(#REF!,0,-1)</definedName>
    <definedName name="Import.Município" localSheetId="0" hidden="1">#REF!</definedName>
    <definedName name="Import.Município" localSheetId="3" hidden="1">#REF!</definedName>
    <definedName name="Import.Município" hidden="1">#REF!</definedName>
    <definedName name="Import.Nível" localSheetId="0" hidden="1">OFFSET(#REF!,1,0):OFFSET(#REF!,-1,0)</definedName>
    <definedName name="Import.Nível" localSheetId="3" hidden="1">OFFSET(#REF!,1,0):OFFSET(#REF!,-1,0)</definedName>
    <definedName name="Import.Nível" hidden="1">OFFSET(#REF!,1,0):OFFSET(#REF!,-1,0)</definedName>
    <definedName name="Import.OpcaoBDI" localSheetId="0" hidden="1">OFFSET(#REF!,1,0):OFFSET(#REF!,-1,0)</definedName>
    <definedName name="Import.OpcaoBDI" localSheetId="3" hidden="1">OFFSET(#REF!,1,0):OFFSET(#REF!,-1,0)</definedName>
    <definedName name="Import.OpcaoBDI" hidden="1">OFFSET(#REF!,1,0):OFFSET(#REF!,-1,0)</definedName>
    <definedName name="Import.ORÇAMENTO.DivRecurso" localSheetId="0" hidden="1">OFFSET(#REF!,1,0):OFFSET(#REF!,-1,0)</definedName>
    <definedName name="Import.ORÇAMENTO.DivRecurso" localSheetId="3" hidden="1">OFFSET(#REF!,1,0):OFFSET(#REF!,-1,0)</definedName>
    <definedName name="Import.ORÇAMENTO.DivRecurso" hidden="1">OFFSET(#REF!,1,0):OFFSET(#REF!,-1,0)</definedName>
    <definedName name="Import.PLE" localSheetId="0" hidden="1">OFFSET(#REF!,1,1):OFFSET(#REF!,-1,-1)</definedName>
    <definedName name="Import.PLE" localSheetId="3" hidden="1">OFFSET(#REF!,1,1):OFFSET(#REF!,-1,-1)</definedName>
    <definedName name="Import.PLE" hidden="1">OFFSET(#REF!,1,1):OFFSET(#REF!,-1,-1)</definedName>
    <definedName name="Import.PLQ" localSheetId="0" hidden="1">OFFSET(#REF!,1,1):OFFSET(#REF!,-1,-1)</definedName>
    <definedName name="Import.PLQ" localSheetId="3" hidden="1">OFFSET(#REF!,1,1):OFFSET(#REF!,-1,-1)</definedName>
    <definedName name="Import.PLQ" hidden="1">OFFSET(#REF!,1,1):OFFSET(#REF!,-1,-1)</definedName>
    <definedName name="Import.PLQ.MemCalc" localSheetId="0" hidden="1">OFFSET(#REF!,1,0):OFFSET(#REF!,-1,0)</definedName>
    <definedName name="Import.PLQ.MemCalc" localSheetId="3" hidden="1">OFFSET(#REF!,1,0):OFFSET(#REF!,-1,0)</definedName>
    <definedName name="Import.PLQ.MemCalc" hidden="1">OFFSET(#REF!,1,0):OFFSET(#REF!,-1,0)</definedName>
    <definedName name="Import.Proponente" localSheetId="0" hidden="1">#REF!</definedName>
    <definedName name="Import.Proponente" localSheetId="3" hidden="1">#REF!</definedName>
    <definedName name="Import.Proponente" hidden="1">#REF!</definedName>
    <definedName name="Import.QCI.Divisao" localSheetId="0" hidden="1">OFFSET(#REF!,1,0):OFFSET(#REF!,-1,0)</definedName>
    <definedName name="Import.QCI.Divisao" localSheetId="3" hidden="1">OFFSET(#REF!,1,0):OFFSET(#REF!,-1,0)</definedName>
    <definedName name="Import.QCI.Divisao" hidden="1">OFFSET(#REF!,1,0):OFFSET(#REF!,-1,0)</definedName>
    <definedName name="Import.QCI.ItemInv" localSheetId="0" hidden="1">OFFSET(#REF!,1,0):OFFSET(#REF!,-1,0)</definedName>
    <definedName name="Import.QCI.ItemInv" localSheetId="3" hidden="1">OFFSET(#REF!,1,0):OFFSET(#REF!,-1,0)</definedName>
    <definedName name="Import.QCI.ItemInv" hidden="1">OFFSET(#REF!,1,0):OFFSET(#REF!,-1,0)</definedName>
    <definedName name="Import.QCI.Qtde" localSheetId="0" hidden="1">OFFSET(#REF!,1,0):OFFSET(#REF!,-1,0)</definedName>
    <definedName name="Import.QCI.Qtde" localSheetId="3" hidden="1">OFFSET(#REF!,1,0):OFFSET(#REF!,-1,0)</definedName>
    <definedName name="Import.QCI.Qtde" hidden="1">OFFSET(#REF!,1,0):OFFSET(#REF!,-1,0)</definedName>
    <definedName name="Import.QCI.Situacao" localSheetId="0" hidden="1">OFFSET(#REF!,1,0):OFFSET(#REF!,-1,0)</definedName>
    <definedName name="Import.QCI.Situacao" localSheetId="3" hidden="1">OFFSET(#REF!,1,0):OFFSET(#REF!,-1,0)</definedName>
    <definedName name="Import.QCI.Situacao" hidden="1">OFFSET(#REF!,1,0):OFFSET(#REF!,-1,0)</definedName>
    <definedName name="Import.QCI.SubItemInv" localSheetId="0" hidden="1">OFFSET(#REF!,1,0):OFFSET(#REF!,-1,0)</definedName>
    <definedName name="Import.QCI.SubItemInv" localSheetId="3" hidden="1">OFFSET(#REF!,1,0):OFFSET(#REF!,-1,0)</definedName>
    <definedName name="Import.QCI.SubItemInv" hidden="1">OFFSET(#REF!,1,0):OFFSET(#REF!,-1,0)</definedName>
    <definedName name="Import.QCICP" localSheetId="0" hidden="1">OFFSET(#REF!,1,0):OFFSET(#REF!,-1,0)</definedName>
    <definedName name="Import.QCICP" localSheetId="3" hidden="1">OFFSET(#REF!,1,0):OFFSET(#REF!,-1,0)</definedName>
    <definedName name="Import.QCICP" hidden="1">OFFSET(#REF!,1,0):OFFSET(#REF!,-1,0)</definedName>
    <definedName name="Import.QCIDesc" localSheetId="0" hidden="1">OFFSET(#REF!,1,0):OFFSET(#REF!,-1,0)</definedName>
    <definedName name="Import.QCIDesc" localSheetId="3" hidden="1">OFFSET(#REF!,1,0):OFFSET(#REF!,-1,0)</definedName>
    <definedName name="Import.QCIDesc" hidden="1">OFFSET(#REF!,1,0):OFFSET(#REF!,-1,0)</definedName>
    <definedName name="Import.QCIInv" localSheetId="0" hidden="1">OFFSET(#REF!,1,0):OFFSET(#REF!,-1,0)</definedName>
    <definedName name="Import.QCIInv" localSheetId="3" hidden="1">OFFSET(#REF!,1,0):OFFSET(#REF!,-1,0)</definedName>
    <definedName name="Import.QCIInv" hidden="1">OFFSET(#REF!,1,0):OFFSET(#REF!,-1,0)</definedName>
    <definedName name="Import.QCILote" localSheetId="0" hidden="1">OFFSET(#REF!,1,0):OFFSET(#REF!,-1,0)</definedName>
    <definedName name="Import.QCILote" localSheetId="3" hidden="1">OFFSET(#REF!,1,0):OFFSET(#REF!,-1,0)</definedName>
    <definedName name="Import.QCILote" hidden="1">OFFSET(#REF!,1,0):OFFSET(#REF!,-1,0)</definedName>
    <definedName name="Import.QCIOutros" localSheetId="0" hidden="1">OFFSET(#REF!,1,0):OFFSET(#REF!,-1,0)</definedName>
    <definedName name="Import.QCIOutros" localSheetId="3" hidden="1">OFFSET(#REF!,1,0):OFFSET(#REF!,-1,0)</definedName>
    <definedName name="Import.QCIOutros" hidden="1">OFFSET(#REF!,1,0):OFFSET(#REF!,-1,0)</definedName>
    <definedName name="Import.Quantidade" localSheetId="0" hidden="1">OFFSET(#REF!,1,0):OFFSET(#REF!,-1,0)</definedName>
    <definedName name="Import.Quantidade" localSheetId="3" hidden="1">OFFSET(#REF!,1,0):OFFSET(#REF!,-1,0)</definedName>
    <definedName name="Import.Quantidade" hidden="1">OFFSET(#REF!,1,0):OFFSET(#REF!,-1,0)</definedName>
    <definedName name="import.recurso" localSheetId="0" hidden="1">#REF!</definedName>
    <definedName name="import.recurso" localSheetId="3" hidden="1">#REF!</definedName>
    <definedName name="import.recurso" hidden="1">#REF!</definedName>
    <definedName name="Import.RegimeExecução" localSheetId="0" hidden="1">OFFSET(#REF!,0,-1)</definedName>
    <definedName name="Import.RegimeExecução" localSheetId="3" hidden="1">OFFSET(#REF!,0,-1)</definedName>
    <definedName name="Import.RegimeExecução" hidden="1">OFFSET(#REF!,0,-1)</definedName>
    <definedName name="Import.Repasse" localSheetId="0" hidden="1">#REF!</definedName>
    <definedName name="Import.Repasse" localSheetId="3" hidden="1">#REF!</definedName>
    <definedName name="Import.Repasse" hidden="1">#REF!</definedName>
    <definedName name="Import.RespFiscalização" localSheetId="0" hidden="1">#REF!</definedName>
    <definedName name="Import.RespFiscalização" localSheetId="3" hidden="1">#REF!</definedName>
    <definedName name="Import.RespFiscalização" hidden="1">#REF!</definedName>
    <definedName name="Import.RespOrçamento" localSheetId="0" hidden="1">#REF!</definedName>
    <definedName name="Import.RespOrçamento" localSheetId="3" hidden="1">#REF!</definedName>
    <definedName name="Import.RespOrçamento" hidden="1">#REF!</definedName>
    <definedName name="Import.SICONV" localSheetId="0" hidden="1">#REF!</definedName>
    <definedName name="Import.SICONV" localSheetId="3" hidden="1">#REF!</definedName>
    <definedName name="Import.SICONV" hidden="1">#REF!</definedName>
    <definedName name="Import.Unidade" localSheetId="0" hidden="1">OFFSET(#REF!,1,0):OFFSET(#REF!,-1,0)</definedName>
    <definedName name="Import.Unidade" localSheetId="3" hidden="1">OFFSET(#REF!,1,0):OFFSET(#REF!,-1,0)</definedName>
    <definedName name="Import.Unidade" hidden="1">OFFSET(#REF!,1,0):OFFSET(#REF!,-1,0)</definedName>
    <definedName name="Import.UnitarioLicitado" localSheetId="0" hidden="1">OFFSET(#REF!,1,0):OFFSET(#REF!,-1,0)</definedName>
    <definedName name="Import.UnitarioLicitado" localSheetId="3" hidden="1">OFFSET(#REF!,1,0):OFFSET(#REF!,-1,0)</definedName>
    <definedName name="Import.UnitarioLicitado" hidden="1">OFFSET(#REF!,1,0):OFFSET(#REF!,-1,0)</definedName>
    <definedName name="IS" localSheetId="0">#REF!</definedName>
    <definedName name="IS" localSheetId="3">#REF!</definedName>
    <definedName name="IS">#REF!</definedName>
    <definedName name="LU" localSheetId="0">#REF!</definedName>
    <definedName name="LU" localSheetId="3">#REF!</definedName>
    <definedName name="LU">#REF!</definedName>
    <definedName name="MENU.CRONO" localSheetId="0" hidden="1">OFFSET(#REF!,1,0)</definedName>
    <definedName name="MENU.CRONO" localSheetId="3" hidden="1">OFFSET(#REF!,1,0)</definedName>
    <definedName name="MENU.CRONO" hidden="1">OFFSET(#REF!,1,0)</definedName>
    <definedName name="NCOMPOSICOES">3</definedName>
    <definedName name="Objeto" localSheetId="0" hidden="1">#REF!</definedName>
    <definedName name="Objeto" localSheetId="3" hidden="1">#REF!</definedName>
    <definedName name="Objeto" hidden="1">#REF!</definedName>
    <definedName name="ORÇAMENTO.BancoRef" localSheetId="0" hidden="1">#REF!</definedName>
    <definedName name="ORÇAMENTO.BancoRef" localSheetId="3" hidden="1">#REF!</definedName>
    <definedName name="ORÇAMENTO.BancoRef" hidden="1">#REF!</definedName>
    <definedName name="ORÇAMENTO.CodBarra" localSheetId="0" hidden="1">IF('PLAN ORÇAM'!ORÇAMENTO.Fonte="Sinapi",SUBSTITUTE(SUBSTITUTE('PLAN ORÇAM'!ORÇAMENTO.Codigo,"/00","/"),"/0","/"),'PLAN ORÇAM'!ORÇAMENTO.Codigo)</definedName>
    <definedName name="ORÇAMENTO.CodBarra" localSheetId="3" hidden="1">IF('PLANILHA CÁLCULO'!ORÇAMENTO.Fonte="Sinapi",SUBSTITUTE(SUBSTITUTE('PLANILHA CÁLCULO'!ORÇAMENTO.Codigo,"/00","/"),"/0","/"),'PLANILHA CÁLCULO'!ORÇAMENTO.Codigo)</definedName>
    <definedName name="ORÇAMENTO.CodBarra" hidden="1">IF(ORÇAMENTO.Fonte="Sinapi",SUBSTITUTE(SUBSTITUTE(ORÇAMENTO.Codigo,"/00","/"),"/0","/"),ORÇAMENTO.Codigo)</definedName>
    <definedName name="ORÇAMENTO.Codigo" localSheetId="0" hidden="1">#REF!</definedName>
    <definedName name="ORÇAMENTO.Codigo" localSheetId="3" hidden="1">#REF!</definedName>
    <definedName name="ORÇAMENTO.Codigo" hidden="1">#REF!</definedName>
    <definedName name="ORÇAMENTO.CustoUnitario" localSheetId="0" hidden="1">ROUND(#REF!,15-13*#REF!)</definedName>
    <definedName name="ORÇAMENTO.CustoUnitario" localSheetId="3" hidden="1">ROUND(#REF!,15-13*#REF!)</definedName>
    <definedName name="ORÇAMENTO.CustoUnitario" hidden="1">ROUND(#REF!,15-13*#REF!)</definedName>
    <definedName name="ORÇAMENTO.Descricao" localSheetId="0" hidden="1">#REF!</definedName>
    <definedName name="ORÇAMENTO.Descricao" localSheetId="3" hidden="1">#REF!</definedName>
    <definedName name="ORÇAMENTO.Descricao" hidden="1">#REF!</definedName>
    <definedName name="ORÇAMENTO.Fonte" localSheetId="0" hidden="1">#REF!</definedName>
    <definedName name="ORÇAMENTO.Fonte" localSheetId="3" hidden="1">#REF!</definedName>
    <definedName name="ORÇAMENTO.Fonte" hidden="1">#REF!</definedName>
    <definedName name="ORÇAMENTO.ListaCrono" localSheetId="0" hidden="1">OFFSET(#REF!,1,0):OFFSET(#REF!,-1,0)</definedName>
    <definedName name="ORÇAMENTO.ListaCrono" localSheetId="3" hidden="1">OFFSET(#REF!,1,0):OFFSET(#REF!,-1,0)</definedName>
    <definedName name="ORÇAMENTO.ListaCrono" hidden="1">OFFSET(#REF!,1,0):OFFSET(#REF!,-1,0)</definedName>
    <definedName name="ORÇAMENTO.MáximoListaCrono" localSheetId="0" hidden="1">MAX('PLAN ORÇAM'!ORÇAMENTO.ListaCrono)</definedName>
    <definedName name="ORÇAMENTO.MáximoListaCrono" localSheetId="3" hidden="1">MAX('PLANILHA CÁLCULO'!ORÇAMENTO.ListaCrono)</definedName>
    <definedName name="ORÇAMENTO.MáximoListaCrono" hidden="1">MAX(ORÇAMENTO.ListaCrono)</definedName>
    <definedName name="ORÇAMENTO.Nivel" localSheetId="0" hidden="1">#REF!</definedName>
    <definedName name="ORÇAMENTO.Nivel" localSheetId="3" hidden="1">#REF!</definedName>
    <definedName name="ORÇAMENTO.Nivel" hidden="1">#REF!</definedName>
    <definedName name="ORÇAMENTO.OpcaoBDI" localSheetId="0" hidden="1">#REF!</definedName>
    <definedName name="ORÇAMENTO.OpcaoBDI" localSheetId="3" hidden="1">#REF!</definedName>
    <definedName name="ORÇAMENTO.OpcaoBDI" hidden="1">#REF!</definedName>
    <definedName name="ORÇAMENTO.PasteFormat1" localSheetId="0" hidden="1">OFFSET(#REF!,1,0):OFFSET(#REF!,-1,0)</definedName>
    <definedName name="ORÇAMENTO.PasteFormat1" localSheetId="3" hidden="1">OFFSET(#REF!,1,0):OFFSET(#REF!,-1,0)</definedName>
    <definedName name="ORÇAMENTO.PasteFormat1" hidden="1">OFFSET(#REF!,1,0):OFFSET(#REF!,-1,0)</definedName>
    <definedName name="ORÇAMENTO.PasteFormat2" localSheetId="0" hidden="1">OFFSET(#REF!,1,0):OFFSET(#REF!,-1,0)</definedName>
    <definedName name="ORÇAMENTO.PasteFormat2" localSheetId="3" hidden="1">OFFSET(#REF!,1,0):OFFSET(#REF!,-1,0)</definedName>
    <definedName name="ORÇAMENTO.PasteFormat2" hidden="1">OFFSET(#REF!,1,0):OFFSET(#REF!,-1,0)</definedName>
    <definedName name="ORÇAMENTO.PrecoUnitarioLicitado" localSheetId="0" hidden="1">#REF!</definedName>
    <definedName name="ORÇAMENTO.PrecoUnitarioLicitado" localSheetId="3" hidden="1">#REF!</definedName>
    <definedName name="ORÇAMENTO.PrecoUnitarioLicitado" hidden="1">#REF!</definedName>
    <definedName name="ORÇAMENTO.RangeQuant" localSheetId="0" hidden="1">OFFSET(#REF!,1,0):OFFSET(#REF!,-1,0)</definedName>
    <definedName name="ORÇAMENTO.RangeQuant" localSheetId="3" hidden="1">OFFSET(#REF!,1,0):OFFSET(#REF!,-1,0)</definedName>
    <definedName name="ORÇAMENTO.RangeQuant" hidden="1">OFFSET(#REF!,1,0):OFFSET(#REF!,-1,0)</definedName>
    <definedName name="ORÇAMENTO.SumCPMANUAL" localSheetId="0" hidden="1">SUMIF(#REF!,"CP",#REF!)</definedName>
    <definedName name="ORÇAMENTO.SumCPMANUAL" localSheetId="3" hidden="1">SUMIF(#REF!,"CP",#REF!)</definedName>
    <definedName name="ORÇAMENTO.SumCPMANUAL" hidden="1">SUMIF(#REF!,"CP",#REF!)</definedName>
    <definedName name="ORÇAMENTO.SumINVMANUAL" localSheetId="0" hidden="1">SUMIF(#REF!,"RP",#REF!)+SUMIF(#REF!,"CP",#REF!)+SUMIF(#REF!,"OU",#REF!)</definedName>
    <definedName name="ORÇAMENTO.SumINVMANUAL" localSheetId="3" hidden="1">SUMIF(#REF!,"RP",#REF!)+SUMIF(#REF!,"CP",#REF!)+SUMIF(#REF!,"OU",#REF!)</definedName>
    <definedName name="ORÇAMENTO.SumINVMANUAL" hidden="1">SUMIF(#REF!,"RP",#REF!)+SUMIF(#REF!,"CP",#REF!)+SUMIF(#REF!,"OU",#REF!)</definedName>
    <definedName name="ORÇAMENTO.SumOUTROSMANUAL" localSheetId="0" hidden="1">SUMIF(#REF!,"OU",#REF!)</definedName>
    <definedName name="ORÇAMENTO.SumOUTROSMANUAL" localSheetId="3" hidden="1">SUMIF(#REF!,"OU",#REF!)</definedName>
    <definedName name="ORÇAMENTO.SumOUTROSMANUAL" hidden="1">SUMIF(#REF!,"OU",#REF!)</definedName>
    <definedName name="ORÇAMENTO.SumREPASSEMANUAL" localSheetId="0" hidden="1">'PLAN ORÇAM'!ORÇAMENTO.SumINVMANUAL-'PLAN ORÇAM'!ORÇAMENTO.SumCPMANUAL-'PLAN ORÇAM'!ORÇAMENTO.SumOUTROSMANUAL</definedName>
    <definedName name="ORÇAMENTO.SumREPASSEMANUAL" localSheetId="3" hidden="1">'PLANILHA CÁLCULO'!ORÇAMENTO.SumINVMANUAL-'PLANILHA CÁLCULO'!ORÇAMENTO.SumCPMANUAL-'PLANILHA CÁLCULO'!ORÇAMENTO.SumOUTROSMANUAL</definedName>
    <definedName name="ORÇAMENTO.SumREPASSEMANUAL" hidden="1">ORÇAMENTO.SumINVMANUAL-ORÇAMENTO.SumCPMANUAL-ORÇAMENTO.SumOUTROSMANUAL</definedName>
    <definedName name="ORÇAMENTO.Unidade" localSheetId="0" hidden="1">#REF!</definedName>
    <definedName name="ORÇAMENTO.Unidade" localSheetId="3" hidden="1">#REF!</definedName>
    <definedName name="ORÇAMENTO.Unidade" hidden="1">#REF!</definedName>
    <definedName name="PLE.firstrow" localSheetId="0" hidden="1">#REF!</definedName>
    <definedName name="PLE.firstrow" localSheetId="3" hidden="1">#REF!</definedName>
    <definedName name="PLE.firstrow" hidden="1">#REF!</definedName>
    <definedName name="PLE.lastrow" localSheetId="0" hidden="1">#REF!</definedName>
    <definedName name="PLE.lastrow" localSheetId="3" hidden="1">#REF!</definedName>
    <definedName name="PLE.lastrow" hidden="1">#REF!</definedName>
    <definedName name="PLE.Medicao" localSheetId="0" hidden="1">#REF!</definedName>
    <definedName name="PLE.Medicao" localSheetId="3" hidden="1">#REF!</definedName>
    <definedName name="PLE.Medicao" hidden="1">#REF!</definedName>
    <definedName name="PLE.ValorDoEvento" localSheetId="0" hidden="1">SUMIF(#REF!,#REF!,OFFSET(#REF!,0,#REF!))</definedName>
    <definedName name="PLE.ValorDoEvento" localSheetId="3" hidden="1">SUMIF(#REF!,#REF!,OFFSET(#REF!,0,#REF!))</definedName>
    <definedName name="PLE.ValorDoEvento" hidden="1">SUMIF(#REF!,#REF!,OFFSET(#REF!,0,#REF!))</definedName>
    <definedName name="PO.ValoresBDI" localSheetId="0" hidden="1">OFFSET(#REF!,1,0):OFFSET(#REF!,-1,0)</definedName>
    <definedName name="PO.ValoresBDI" localSheetId="3" hidden="1">OFFSET(#REF!,1,0):OFFSET(#REF!,-1,0)</definedName>
    <definedName name="PO.ValoresBDI" hidden="1">OFFSET(#REF!,1,0):OFFSET(#REF!,-1,0)</definedName>
    <definedName name="QCI.CPManual" localSheetId="0" hidden="1">ROUND(#REF!,2)</definedName>
    <definedName name="QCI.CPManual" localSheetId="3" hidden="1">ROUND(#REF!,2)</definedName>
    <definedName name="QCI.CPManual" hidden="1">ROUND(#REF!,2)</definedName>
    <definedName name="QCI.DescManual" localSheetId="0" hidden="1">#REF!</definedName>
    <definedName name="QCI.DescManual" localSheetId="3" hidden="1">#REF!</definedName>
    <definedName name="QCI.DescManual" hidden="1">#REF!</definedName>
    <definedName name="QCI.Divisao" localSheetId="0" hidden="1">#REF!</definedName>
    <definedName name="QCI.Divisao" localSheetId="3" hidden="1">#REF!</definedName>
    <definedName name="QCI.Divisao" hidden="1">#REF!</definedName>
    <definedName name="QCI.ExisteManual" localSheetId="0" hidden="1">(COUNTIF(#REF!,"Manual")+COUNTIF(#REF!,"SemiAuto"))&gt;0</definedName>
    <definedName name="QCI.ExisteManual" localSheetId="3" hidden="1">(COUNTIF(#REF!,"Manual")+COUNTIF(#REF!,"SemiAuto"))&gt;0</definedName>
    <definedName name="QCI.ExisteManual" hidden="1">(COUNTIF(#REF!,"Manual")+COUNTIF(#REF!,"SemiAuto"))&gt;0</definedName>
    <definedName name="QCI.InvManual" localSheetId="0" hidden="1">ROUND(#REF!,2)</definedName>
    <definedName name="QCI.InvManual" localSheetId="3" hidden="1">ROUND(#REF!,2)</definedName>
    <definedName name="QCI.InvManual" hidden="1">ROUND(#REF!,2)</definedName>
    <definedName name="QCI.ItemInvestimento" localSheetId="0" hidden="1">OFFSET(#REF!,1,0,COUNTA(#REF!)-1,1)</definedName>
    <definedName name="QCI.ItemInvestimento" localSheetId="3" hidden="1">OFFSET(#REF!,1,0,COUNTA(#REF!)-1,1)</definedName>
    <definedName name="QCI.ItemInvestimento" hidden="1">OFFSET(#REF!,1,0,COUNTA(#REF!)-1,1)</definedName>
    <definedName name="QCI.LoteManual" localSheetId="0" hidden="1">#REF!</definedName>
    <definedName name="QCI.LoteManual" localSheetId="3" hidden="1">#REF!</definedName>
    <definedName name="QCI.LoteManual" hidden="1">#REF!</definedName>
    <definedName name="QCI.MaxCPManual" localSheetId="0" hidden="1">#REF!-#REF!</definedName>
    <definedName name="QCI.MaxCPManual" localSheetId="3" hidden="1">#REF!-#REF!</definedName>
    <definedName name="QCI.MaxCPManual" hidden="1">#REF!-#REF!</definedName>
    <definedName name="QCI.MaxOUManual" localSheetId="0" hidden="1">#REF!-#REF!</definedName>
    <definedName name="QCI.MaxOUManual" localSheetId="3" hidden="1">#REF!-#REF!</definedName>
    <definedName name="QCI.MaxOUManual" hidden="1">#REF!-#REF!</definedName>
    <definedName name="QCI.OutrosManual" localSheetId="0" hidden="1">ROUND(#REF!,2)</definedName>
    <definedName name="QCI.OutrosManual" localSheetId="3" hidden="1">ROUND(#REF!,2)</definedName>
    <definedName name="QCI.OutrosManual" hidden="1">ROUND(#REF!,2)</definedName>
    <definedName name="QCI.SubItemInvestimento" localSheetId="0" hidden="1">OFFSET(#REF!,1,MATCH(#REF!,#REF!,0)-1,INDEX(#REF!,MATCH(#REF!,#REF!,0)+1))</definedName>
    <definedName name="QCI.SubItemInvestimento" localSheetId="3" hidden="1">OFFSET(#REF!,1,MATCH(#REF!,#REF!,0)-1,INDEX(#REF!,MATCH(#REF!,#REF!,0)+1))</definedName>
    <definedName name="QCI.SubItemInvestimento" hidden="1">OFFSET(#REF!,1,MATCH(#REF!,#REF!,0)-1,INDEX(#REF!,MATCH(#REF!,#REF!,0)+1))</definedName>
    <definedName name="QCI.SumCPMANUAL" localSheetId="0" hidden="1">SUMIF(#REF!,"Manual",#REF!)</definedName>
    <definedName name="QCI.SumCPMANUAL" localSheetId="3" hidden="1">SUMIF(#REF!,"Manual",#REF!)</definedName>
    <definedName name="QCI.SumCPMANUAL" hidden="1">SUMIF(#REF!,"Manual",#REF!)</definedName>
    <definedName name="QCI.SumINVMANUAL" localSheetId="0" hidden="1">SUMIF(#REF!,"Manual",#REF!)</definedName>
    <definedName name="QCI.SumINVMANUAL" localSheetId="3" hidden="1">SUMIF(#REF!,"Manual",#REF!)</definedName>
    <definedName name="QCI.SumINVMANUAL" hidden="1">SUMIF(#REF!,"Manual",#REF!)</definedName>
    <definedName name="QCI.SumOUTROSMANUAL" localSheetId="0" hidden="1">SUMIF(#REF!,"Manual",#REF!)</definedName>
    <definedName name="QCI.SumOUTROSMANUAL" localSheetId="3" hidden="1">SUMIF(#REF!,"Manual",#REF!)</definedName>
    <definedName name="QCI.SumOUTROSMANUAL" hidden="1">SUMIF(#REF!,"Manual",#REF!)</definedName>
    <definedName name="QCI.SumREPASSEMANUAL" localSheetId="0" hidden="1">'PLAN ORÇAM'!QCI.SumINVMANUAL-'PLAN ORÇAM'!QCI.CPManual-'PLAN ORÇAM'!QCI.OutrosManual</definedName>
    <definedName name="QCI.SumREPASSEMANUAL" localSheetId="3" hidden="1">'PLANILHA CÁLCULO'!QCI.SumINVMANUAL-'PLANILHA CÁLCULO'!QCI.CPManual-'PLANILHA CÁLCULO'!QCI.OutrosManual</definedName>
    <definedName name="QCI.SumREPASSEMANUAL" hidden="1">QCI.SumINVMANUAL-QCI.CPManual-QCI.OutrosManual</definedName>
    <definedName name="Referencia.Descricao" localSheetId="5">#N/A</definedName>
    <definedName name="REFERENCIA.Descricao" localSheetId="0" hidden="1">IF(ISNUMBER(#REF!),OFFSET(INDIRECT('PLAN ORÇAM'!ORÇAMENTO.BancoRef),#REF!-1,3,1),#REF!)</definedName>
    <definedName name="REFERENCIA.Descricao" localSheetId="3" hidden="1">IF(ISNUMBER(#REF!),OFFSET(INDIRECT('PLANILHA CÁLCULO'!ORÇAMENTO.BancoRef),#REF!-1,3,1),#REF!)</definedName>
    <definedName name="REFERENCIA.Descricao" hidden="1">IF(ISNUMBER(#REF!),OFFSET(INDIRECT(ORÇAMENTO.BancoRef),#REF!-1,3,1),#REF!)</definedName>
    <definedName name="REFERENCIA.Desonerado" localSheetId="0" hidden="1">IF(ISNUMBER(#REF!),VALUE(OFFSET(INDIRECT('PLAN ORÇAM'!ORÇAMENTO.BancoRef),#REF!-1,5,1)),0)</definedName>
    <definedName name="REFERENCIA.Desonerado" localSheetId="3" hidden="1">IF(ISNUMBER(#REF!),VALUE(OFFSET(INDIRECT('PLANILHA CÁLCULO'!ORÇAMENTO.BancoRef),#REF!-1,5,1)),0)</definedName>
    <definedName name="REFERENCIA.Desonerado" hidden="1">IF(ISNUMBER(#REF!),VALUE(OFFSET(INDIRECT(ORÇAMENTO.BancoRef),#REF!-1,5,1)),0)</definedName>
    <definedName name="REFERENCIA.NaoDesonerado" localSheetId="0" hidden="1">IF(ISNUMBER(#REF!),VALUE(OFFSET(INDIRECT('PLAN ORÇAM'!ORÇAMENTO.BancoRef),#REF!-1,6,1)),0)</definedName>
    <definedName name="REFERENCIA.NaoDesonerado" localSheetId="3" hidden="1">IF(ISNUMBER(#REF!),VALUE(OFFSET(INDIRECT('PLANILHA CÁLCULO'!ORÇAMENTO.BancoRef),#REF!-1,6,1)),0)</definedName>
    <definedName name="REFERENCIA.NaoDesonerado" hidden="1">IF(ISNUMBER(#REF!),VALUE(OFFSET(INDIRECT(ORÇAMENTO.BancoRef),#REF!-1,6,1)),0)</definedName>
    <definedName name="Referencia.Unidade" localSheetId="5">#N/A</definedName>
    <definedName name="REFERENCIA.Unidade" localSheetId="0" hidden="1">IF(ISNUMBER(#REF!),OFFSET(INDIRECT('PLAN ORÇAM'!ORÇAMENTO.BancoRef),#REF!-1,4,1),"-")</definedName>
    <definedName name="REFERENCIA.Unidade" localSheetId="3" hidden="1">IF(ISNUMBER(#REF!),OFFSET(INDIRECT('PLANILHA CÁLCULO'!ORÇAMENTO.BancoRef),#REF!-1,4,1),"-")</definedName>
    <definedName name="REFERENCIA.Unidade" hidden="1">IF(ISNUMBER(#REF!),OFFSET(INDIRECT(ORÇAMENTO.BancoRef),#REF!-1,4,1),"-")</definedName>
    <definedName name="RegimeExecucao" localSheetId="0" hidden="1">IF(OR('PLAN ORÇAM'!Import.RegimeExecução="",'PLAN ORÇAM'!Import.RegimeExecução="Empreitada por Preço Global",'PLAN ORÇAM'!Import.RegimeExecução="Empreitada Integral"),"Global","Unitário")</definedName>
    <definedName name="RegimeExecucao" localSheetId="3" hidden="1">IF(OR('PLANILHA CÁLCULO'!Import.RegimeExecução="",'PLANILHA CÁLCULO'!Import.RegimeExecução="Empreitada por Preço Global",'PLANILHA CÁLCULO'!Import.RegimeExecução="Empreitada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I" localSheetId="0">#REF!</definedName>
    <definedName name="RI" localSheetId="3">#REF!</definedName>
    <definedName name="RI">#REF!</definedName>
    <definedName name="RRE.MaxCPAcum" localSheetId="0" hidden="1">#REF!</definedName>
    <definedName name="RRE.MaxCPAcum" localSheetId="3" hidden="1">#REF!</definedName>
    <definedName name="RRE.MaxCPAcum" hidden="1">#REF!</definedName>
    <definedName name="RRE.MaxCPAnt" localSheetId="0" hidden="1">#REF!</definedName>
    <definedName name="RRE.MaxCPAnt" localSheetId="3" hidden="1">#REF!</definedName>
    <definedName name="RRE.MaxCPAnt" hidden="1">#REF!</definedName>
    <definedName name="RRE.MaxOUAcum" localSheetId="0" hidden="1">#REF!</definedName>
    <definedName name="RRE.MaxOUAcum" localSheetId="3" hidden="1">#REF!</definedName>
    <definedName name="RRE.MaxOUAcum" hidden="1">#REF!</definedName>
    <definedName name="RRE.MaxOUAnt" localSheetId="0" hidden="1">#REF!</definedName>
    <definedName name="RRE.MaxOUAnt" localSheetId="3" hidden="1">#REF!</definedName>
    <definedName name="RRE.MaxOUAnt" hidden="1">#REF!</definedName>
    <definedName name="RRE.Numero" localSheetId="0" hidden="1">OFFSET(#REF!,0,1)</definedName>
    <definedName name="RRE.Numero" localSheetId="3" hidden="1">OFFSET(#REF!,0,1)</definedName>
    <definedName name="RRE.Numero" hidden="1">OFFSET(#REF!,0,1)</definedName>
    <definedName name="RRE.VIMeta" localSheetId="0" hidden="1">#REF!</definedName>
    <definedName name="RRE.VIMeta" localSheetId="3" hidden="1">#REF!</definedName>
    <definedName name="RRE.VIMeta" hidden="1">#REF!</definedName>
    <definedName name="SENHAGT" hidden="1">"PM3CAIXA"</definedName>
    <definedName name="SG" localSheetId="0">#REF!</definedName>
    <definedName name="SG" localSheetId="3">#REF!</definedName>
    <definedName name="SG">#REF!</definedName>
    <definedName name="SomaAgrup" localSheetId="0" hidden="1">SUMIF(OFFSET(#REF!,1,0,#REF!),"S",OFFSET(#REF!,1,0,#REF!))</definedName>
    <definedName name="SomaAgrup" localSheetId="3" hidden="1">SUMIF(OFFSET(#REF!,1,0,#REF!),"S",OFFSET(#REF!,1,0,#REF!))</definedName>
    <definedName name="SomaAgrup" hidden="1">SUMIF(OFFSET(#REF!,1,0,#REF!),"S",OFFSET(#REF!,1,0,#REF!))</definedName>
    <definedName name="SomaAgrupBM" localSheetId="0" hidden="1">SUMIF(OFFSET(#REF!,1,0,#REF!),"S",OFFSET(#REF!,1,0,#REF!))</definedName>
    <definedName name="SomaAgrupBM" localSheetId="3" hidden="1">SUMIF(OFFSET(#REF!,1,0,#REF!),"S",OFFSET(#REF!,1,0,#REF!))</definedName>
    <definedName name="SomaAgrupBM" hidden="1">SUMIF(OFFSET(#REF!,1,0,#REF!),"S",OFFSET(#REF!,1,0,#REF!))</definedName>
    <definedName name="TIPOORCAMENTO" localSheetId="0" hidden="1">IF(VALUE(#REF!)=2,"Licitado","Proposto")</definedName>
    <definedName name="TIPOORCAMENTO" localSheetId="3" hidden="1">IF(VALUE(#REF!)=2,"Licitado","Proposto")</definedName>
    <definedName name="TIPOORCAMENTO" hidden="1">IF(VALUE(#REF!)=2,"Licitado","Proposto")</definedName>
    <definedName name="_xlnm.Print_Titles" localSheetId="6">CRONOGRAMA!$B:$E</definedName>
    <definedName name="_xlnm.Print_Titles" localSheetId="2">'DADOS CURVA ABC'!$12:$12</definedName>
    <definedName name="_xlnm.Print_Titles" localSheetId="0">'PLAN ORÇAM'!$14:$15</definedName>
    <definedName name="_xlnm.Print_Titles" localSheetId="3">'PLANILHA CÁLCULO'!$B:$B</definedName>
    <definedName name="Versao" localSheetId="0" hidden="1">#REF!</definedName>
    <definedName name="Versao" localSheetId="3" hidden="1">#REF!</definedName>
    <definedName name="Versao" hidden="1">#REF!</definedName>
    <definedName name="VTOTAL1" localSheetId="0" hidden="1">ROUND(#REF!*#REF!,15-13*#REF!)</definedName>
    <definedName name="VTOTAL1" localSheetId="3" hidden="1">ROUND(#REF!*#REF!,15-13*#REF!)</definedName>
    <definedName name="VTOTAL1" hidden="1">ROUND(#REF!*#REF!,15-13*#REF!)</definedName>
    <definedName name="VTOTALBM" localSheetId="0" hidden="1">IF(#REF!=0,0,CHOOSE(MATCH('PLAN ORÇAM'!RegimeExecucao,{"Global","Unitário"},0),ROUND(ROUND(#REF!,15-13*#REF!)/100*#REF!,15-13*#REF!),ROUND(ROUND(#REF!,15-13*#REF!)*ROUND(#REF!,15-13*#REF!),15-13*#REF!)))</definedName>
    <definedName name="VTOTALBM" localSheetId="3" hidden="1">IF(#REF!=0,0,CHOOSE(MATCH('PLANILHA CÁLCULO'!RegimeExecucao,{"Global","Unitário"},0),ROUND(ROUND(#REF!,15-13*#REF!)/100*#REF!,15-13*#REF!),ROUND(ROUND(#REF!,15-13*#REF!)*ROUND(#REF!,15-13*#REF!),15-13*#REF!)))</definedName>
    <definedName name="VTOTALBM" hidden="1">IF(#REF!=0,0,CHOOSE(MATCH(RegimeExecucao,{"Global","Unitário"},0),ROUND(ROUND(#REF!,15-13*#REF!)/100*#REF!,15-13*#REF!),ROUND(ROUND(#REF!,15-13*#REF!)*ROUND(#REF!,15-13*#REF!),15-13*#REF!)))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7" i="29" l="1"/>
  <c r="I716" i="29"/>
  <c r="I715" i="29"/>
  <c r="I714" i="29"/>
  <c r="I713" i="29"/>
  <c r="I712" i="29"/>
  <c r="I711" i="29"/>
  <c r="I710" i="29"/>
  <c r="I709" i="29"/>
  <c r="I708" i="29"/>
  <c r="I707" i="29"/>
  <c r="I703" i="29"/>
  <c r="I702" i="29"/>
  <c r="I698" i="29"/>
  <c r="I697" i="29"/>
  <c r="I696" i="29"/>
  <c r="I695" i="29"/>
  <c r="I694" i="29"/>
  <c r="I693" i="29"/>
  <c r="I692" i="29"/>
  <c r="I691" i="29"/>
  <c r="I690" i="29"/>
  <c r="I689" i="29"/>
  <c r="I688" i="29"/>
  <c r="I687" i="29"/>
  <c r="I686" i="29"/>
  <c r="I685" i="29"/>
  <c r="I681" i="29"/>
  <c r="I680" i="29"/>
  <c r="I679" i="29"/>
  <c r="I678" i="29"/>
  <c r="I677" i="29"/>
  <c r="I676" i="29"/>
  <c r="I672" i="29"/>
  <c r="I671" i="29"/>
  <c r="I670" i="29"/>
  <c r="I669" i="29"/>
  <c r="I668" i="29"/>
  <c r="I667" i="29"/>
  <c r="I666" i="29"/>
  <c r="I665" i="29"/>
  <c r="I661" i="29"/>
  <c r="I660" i="29"/>
  <c r="I659" i="29"/>
  <c r="I658" i="29"/>
  <c r="I657" i="29"/>
  <c r="I653" i="29"/>
  <c r="I652" i="29"/>
  <c r="I648" i="29"/>
  <c r="I647" i="29"/>
  <c r="I646" i="29"/>
  <c r="I645" i="29"/>
  <c r="I644" i="29"/>
  <c r="I640" i="29"/>
  <c r="I639" i="29"/>
  <c r="I638" i="29"/>
  <c r="I634" i="29"/>
  <c r="I633" i="29"/>
  <c r="I632" i="29"/>
  <c r="I631" i="29"/>
  <c r="I630" i="29"/>
  <c r="I629" i="29"/>
  <c r="I628" i="29"/>
  <c r="I627" i="29"/>
  <c r="I626" i="29"/>
  <c r="I622" i="29"/>
  <c r="I621" i="29"/>
  <c r="I620" i="29"/>
  <c r="I619" i="29"/>
  <c r="I615" i="29"/>
  <c r="I614" i="29"/>
  <c r="I613" i="29"/>
  <c r="I612" i="29"/>
  <c r="I611" i="29"/>
  <c r="I610" i="29"/>
  <c r="I609" i="29"/>
  <c r="I608" i="29"/>
  <c r="I607" i="29"/>
  <c r="I603" i="29"/>
  <c r="I602" i="29"/>
  <c r="I601" i="29"/>
  <c r="I600" i="29"/>
  <c r="I599" i="29"/>
  <c r="I598" i="29"/>
  <c r="I597" i="29"/>
  <c r="I596" i="29"/>
  <c r="I595" i="29"/>
  <c r="I594" i="29"/>
  <c r="I593" i="29"/>
  <c r="I589" i="29"/>
  <c r="I588" i="29"/>
  <c r="I587" i="29"/>
  <c r="I580" i="29"/>
  <c r="I579" i="29"/>
  <c r="I578" i="29"/>
  <c r="I577" i="29"/>
  <c r="I573" i="29"/>
  <c r="I572" i="29"/>
  <c r="I571" i="29"/>
  <c r="I567" i="29"/>
  <c r="I560" i="29"/>
  <c r="I559" i="29"/>
  <c r="I558" i="29"/>
  <c r="I557" i="29"/>
  <c r="I553" i="29"/>
  <c r="I552" i="29"/>
  <c r="I551" i="29"/>
  <c r="I550" i="29"/>
  <c r="I549" i="29"/>
  <c r="I548" i="29"/>
  <c r="I544" i="29"/>
  <c r="I543" i="29"/>
  <c r="I542" i="29"/>
  <c r="I538" i="29"/>
  <c r="I534" i="29"/>
  <c r="I533" i="29"/>
  <c r="I532" i="29"/>
  <c r="I528" i="29"/>
  <c r="I527" i="29"/>
  <c r="I526" i="29"/>
  <c r="I522" i="29"/>
  <c r="I521" i="29"/>
  <c r="I520" i="29"/>
  <c r="I519" i="29"/>
  <c r="I518" i="29"/>
  <c r="I517" i="29"/>
  <c r="I516" i="29"/>
  <c r="I512" i="29"/>
  <c r="I511" i="29"/>
  <c r="I510" i="29"/>
  <c r="I509" i="29"/>
  <c r="I508" i="29"/>
  <c r="I507" i="29"/>
  <c r="I506" i="29"/>
  <c r="I505" i="29"/>
  <c r="I504" i="29"/>
  <c r="I503" i="29"/>
  <c r="I502" i="29"/>
  <c r="I498" i="29"/>
  <c r="I497" i="29"/>
  <c r="I496" i="29"/>
  <c r="I488" i="29"/>
  <c r="I487" i="29"/>
  <c r="I483" i="29"/>
  <c r="I482" i="29"/>
  <c r="I481" i="29"/>
  <c r="I480" i="29"/>
  <c r="I479" i="29"/>
  <c r="I478" i="29"/>
  <c r="I477" i="29"/>
  <c r="I476" i="29"/>
  <c r="I475" i="29"/>
  <c r="I474" i="29"/>
  <c r="I473" i="29"/>
  <c r="I472" i="29"/>
  <c r="I471" i="29"/>
  <c r="I470" i="29"/>
  <c r="I466" i="29"/>
  <c r="I465" i="29"/>
  <c r="I464" i="29"/>
  <c r="I463" i="29"/>
  <c r="I462" i="29"/>
  <c r="I461" i="29"/>
  <c r="I460" i="29"/>
  <c r="I459" i="29"/>
  <c r="I458" i="29"/>
  <c r="I454" i="29"/>
  <c r="I453" i="29"/>
  <c r="I452" i="29"/>
  <c r="I448" i="29"/>
  <c r="I444" i="29"/>
  <c r="I443" i="29"/>
  <c r="I442" i="29"/>
  <c r="I438" i="29"/>
  <c r="I437" i="29"/>
  <c r="I436" i="29"/>
  <c r="I435" i="29"/>
  <c r="I434" i="29"/>
  <c r="I433" i="29"/>
  <c r="I432" i="29"/>
  <c r="I423" i="29"/>
  <c r="I422" i="29"/>
  <c r="I421" i="29"/>
  <c r="I420" i="29"/>
  <c r="I419" i="29"/>
  <c r="I418" i="29"/>
  <c r="I417" i="29"/>
  <c r="I416" i="29"/>
  <c r="I415" i="29"/>
  <c r="I414" i="29"/>
  <c r="I413" i="29"/>
  <c r="I412" i="29"/>
  <c r="I411" i="29"/>
  <c r="I407" i="29"/>
  <c r="I406" i="29"/>
  <c r="I405" i="29"/>
  <c r="I404" i="29"/>
  <c r="I403" i="29"/>
  <c r="I402" i="29"/>
  <c r="I401" i="29"/>
  <c r="I400" i="29"/>
  <c r="I399" i="29"/>
  <c r="I395" i="29"/>
  <c r="I394" i="29"/>
  <c r="I393" i="29"/>
  <c r="I392" i="29"/>
  <c r="I391" i="29"/>
  <c r="I390" i="29"/>
  <c r="I386" i="29"/>
  <c r="I385" i="29"/>
  <c r="I384" i="29"/>
  <c r="I383" i="29"/>
  <c r="I382" i="29"/>
  <c r="I381" i="29"/>
  <c r="I377" i="29"/>
  <c r="I376" i="29"/>
  <c r="I375" i="29"/>
  <c r="I374" i="29"/>
  <c r="I370" i="29"/>
  <c r="I369" i="29"/>
  <c r="I368" i="29"/>
  <c r="I367" i="29"/>
  <c r="I363" i="29"/>
  <c r="I362" i="29"/>
  <c r="I358" i="29"/>
  <c r="I357" i="29"/>
  <c r="I356" i="29"/>
  <c r="I352" i="29"/>
  <c r="I351" i="29"/>
  <c r="I350" i="29"/>
  <c r="I349" i="29"/>
  <c r="I348" i="29"/>
  <c r="I347" i="29"/>
  <c r="I340" i="29"/>
  <c r="I339" i="29"/>
  <c r="I338" i="29"/>
  <c r="I337" i="29"/>
  <c r="I336" i="29"/>
  <c r="I335" i="29"/>
  <c r="I334" i="29"/>
  <c r="I333" i="29"/>
  <c r="I332" i="29"/>
  <c r="I331" i="29"/>
  <c r="I330" i="29"/>
  <c r="I329" i="29"/>
  <c r="I328" i="29"/>
  <c r="I324" i="29"/>
  <c r="I323" i="29"/>
  <c r="I322" i="29"/>
  <c r="I321" i="29"/>
  <c r="I320" i="29"/>
  <c r="I319" i="29"/>
  <c r="I318" i="29"/>
  <c r="I317" i="29"/>
  <c r="I313" i="29"/>
  <c r="I312" i="29"/>
  <c r="I308" i="29"/>
  <c r="I307" i="29"/>
  <c r="I303" i="29"/>
  <c r="I302" i="29"/>
  <c r="I301" i="29"/>
  <c r="I297" i="29"/>
  <c r="I296" i="29"/>
  <c r="I292" i="29"/>
  <c r="I291" i="29"/>
  <c r="I290" i="29"/>
  <c r="I286" i="29"/>
  <c r="I285" i="29"/>
  <c r="I284" i="29"/>
  <c r="I283" i="29"/>
  <c r="I282" i="29"/>
  <c r="I281" i="29"/>
  <c r="I274" i="29"/>
  <c r="I273" i="29"/>
  <c r="I269" i="29"/>
  <c r="I268" i="29"/>
  <c r="I267" i="29"/>
  <c r="I266" i="29"/>
  <c r="I265" i="29"/>
  <c r="I264" i="29"/>
  <c r="I263" i="29"/>
  <c r="I262" i="29"/>
  <c r="I261" i="29"/>
  <c r="I260" i="29"/>
  <c r="I259" i="29"/>
  <c r="I258" i="29"/>
  <c r="I257" i="29"/>
  <c r="I253" i="29"/>
  <c r="I252" i="29"/>
  <c r="I251" i="29"/>
  <c r="I250" i="29"/>
  <c r="I249" i="29"/>
  <c r="I248" i="29"/>
  <c r="I247" i="29"/>
  <c r="I246" i="29"/>
  <c r="I245" i="29"/>
  <c r="I244" i="29"/>
  <c r="I243" i="29"/>
  <c r="I242" i="29"/>
  <c r="I241" i="29"/>
  <c r="I240" i="29"/>
  <c r="I239" i="29"/>
  <c r="I238" i="29"/>
  <c r="I237" i="29"/>
  <c r="I236" i="29"/>
  <c r="I235" i="29"/>
  <c r="I234" i="29"/>
  <c r="I230" i="29"/>
  <c r="I229" i="29"/>
  <c r="I228" i="29"/>
  <c r="I227" i="29"/>
  <c r="I226" i="29"/>
  <c r="I225" i="29"/>
  <c r="I221" i="29"/>
  <c r="I220" i="29"/>
  <c r="I219" i="29"/>
  <c r="I218" i="29"/>
  <c r="I217" i="29"/>
  <c r="I216" i="29"/>
  <c r="I215" i="29"/>
  <c r="I214" i="29"/>
  <c r="I213" i="29"/>
  <c r="I209" i="29"/>
  <c r="I208" i="29"/>
  <c r="I207" i="29"/>
  <c r="I206" i="29"/>
  <c r="I205" i="29"/>
  <c r="I204" i="29"/>
  <c r="I200" i="29"/>
  <c r="I196" i="29"/>
  <c r="I192" i="29"/>
  <c r="I191" i="29"/>
  <c r="I190" i="29"/>
  <c r="I189" i="29"/>
  <c r="I188" i="29"/>
  <c r="I184" i="29"/>
  <c r="I180" i="29"/>
  <c r="I179" i="29"/>
  <c r="I178" i="29"/>
  <c r="I177" i="29"/>
  <c r="I176" i="29"/>
  <c r="I172" i="29"/>
  <c r="I171" i="29"/>
  <c r="I170" i="29"/>
  <c r="I169" i="29"/>
  <c r="I168" i="29"/>
  <c r="I167" i="29"/>
  <c r="I166" i="29"/>
  <c r="I158" i="29"/>
  <c r="I157" i="29"/>
  <c r="I156" i="29"/>
  <c r="I155" i="29"/>
  <c r="I151" i="29"/>
  <c r="I150" i="29"/>
  <c r="I149" i="29"/>
  <c r="I148" i="29"/>
  <c r="I144" i="29"/>
  <c r="I143" i="29"/>
  <c r="I142" i="29"/>
  <c r="I141" i="29"/>
  <c r="I140" i="29"/>
  <c r="I139" i="29"/>
  <c r="I138" i="29"/>
  <c r="I137" i="29"/>
  <c r="I133" i="29"/>
  <c r="I132" i="29"/>
  <c r="I131" i="29"/>
  <c r="I130" i="29"/>
  <c r="I129" i="29"/>
  <c r="I128" i="29"/>
  <c r="I127" i="29"/>
  <c r="I126" i="29"/>
  <c r="I122" i="29"/>
  <c r="I121" i="29"/>
  <c r="I120" i="29"/>
  <c r="I119" i="29"/>
  <c r="I118" i="29"/>
  <c r="I114" i="29"/>
  <c r="I113" i="29"/>
  <c r="I112" i="29"/>
  <c r="I111" i="29"/>
  <c r="I110" i="29"/>
  <c r="I109" i="29"/>
  <c r="I102" i="29"/>
  <c r="I101" i="29"/>
  <c r="I100" i="29"/>
  <c r="I99" i="29"/>
  <c r="I98" i="29"/>
  <c r="I94" i="29"/>
  <c r="I93" i="29"/>
  <c r="I92" i="29"/>
  <c r="I91" i="29"/>
  <c r="I90" i="29"/>
  <c r="I86" i="29"/>
  <c r="I85" i="29"/>
  <c r="I84" i="29"/>
  <c r="I83" i="29"/>
  <c r="I82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4" i="29"/>
  <c r="I63" i="29"/>
  <c r="I62" i="29"/>
  <c r="I61" i="29"/>
  <c r="I60" i="29"/>
  <c r="I59" i="29"/>
  <c r="I55" i="29"/>
  <c r="I51" i="29"/>
  <c r="I50" i="29"/>
  <c r="I46" i="29"/>
  <c r="I45" i="29"/>
  <c r="I44" i="29"/>
  <c r="I43" i="29"/>
  <c r="I42" i="29"/>
  <c r="I41" i="29"/>
  <c r="I40" i="29"/>
  <c r="I36" i="29"/>
  <c r="I35" i="29"/>
  <c r="I28" i="29"/>
  <c r="I27" i="29"/>
  <c r="I21" i="29"/>
  <c r="I22" i="29"/>
  <c r="I23" i="29"/>
  <c r="I20" i="29"/>
  <c r="G20" i="29" l="1"/>
  <c r="D4" i="14"/>
  <c r="G522" i="29"/>
  <c r="G521" i="29"/>
  <c r="G517" i="29"/>
  <c r="G516" i="29"/>
  <c r="G507" i="29"/>
  <c r="G506" i="29"/>
  <c r="G505" i="29"/>
  <c r="G512" i="29" s="1"/>
  <c r="L14" i="28"/>
  <c r="G504" i="29"/>
  <c r="G503" i="29"/>
  <c r="G502" i="29"/>
  <c r="H95" i="14"/>
  <c r="H96" i="14"/>
  <c r="H97" i="14"/>
  <c r="H98" i="14"/>
  <c r="H94" i="14"/>
  <c r="G93" i="14"/>
  <c r="H93" i="14" s="1"/>
  <c r="H92" i="14" s="1"/>
  <c r="G511" i="29"/>
  <c r="G533" i="29"/>
  <c r="AK12" i="28"/>
  <c r="G550" i="29" s="1"/>
  <c r="G527" i="29"/>
  <c r="G543" i="29" s="1"/>
  <c r="G544" i="29" s="1"/>
  <c r="G551" i="29" s="1"/>
  <c r="G498" i="29"/>
  <c r="G497" i="29"/>
  <c r="G553" i="29" l="1"/>
  <c r="G552" i="29"/>
  <c r="G538" i="29"/>
  <c r="Q38" i="29" l="1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P38" i="29"/>
  <c r="P36" i="29"/>
  <c r="P37" i="29"/>
  <c r="P20" i="29"/>
  <c r="P21" i="29"/>
  <c r="P22" i="29"/>
  <c r="P23" i="29"/>
  <c r="P24" i="29"/>
  <c r="P25" i="29"/>
  <c r="P26" i="29"/>
  <c r="P27" i="29"/>
  <c r="P28" i="29"/>
  <c r="P29" i="29"/>
  <c r="P30" i="29"/>
  <c r="P31" i="29"/>
  <c r="P32" i="29"/>
  <c r="P33" i="29"/>
  <c r="P34" i="29"/>
  <c r="P35" i="29"/>
  <c r="P19" i="29"/>
  <c r="Q19" i="29"/>
  <c r="B8" i="13" l="1"/>
  <c r="X12" i="28"/>
  <c r="G548" i="29" s="1"/>
  <c r="X13" i="28"/>
  <c r="G571" i="29" l="1"/>
  <c r="G573" i="29" s="1"/>
  <c r="W13" i="28"/>
  <c r="G567" i="29" s="1"/>
  <c r="G27" i="29" l="1"/>
  <c r="N724" i="29"/>
  <c r="M724" i="29"/>
  <c r="G715" i="29"/>
  <c r="G707" i="29"/>
  <c r="G697" i="29"/>
  <c r="G687" i="29"/>
  <c r="G661" i="29"/>
  <c r="G660" i="29"/>
  <c r="G658" i="29"/>
  <c r="G657" i="29"/>
  <c r="G652" i="29"/>
  <c r="G621" i="29"/>
  <c r="D613" i="29"/>
  <c r="D612" i="29"/>
  <c r="G602" i="29"/>
  <c r="D598" i="29"/>
  <c r="G597" i="29"/>
  <c r="G595" i="29"/>
  <c r="G594" i="29"/>
  <c r="G589" i="29"/>
  <c r="G471" i="29"/>
  <c r="G470" i="29"/>
  <c r="G448" i="29"/>
  <c r="G453" i="29" s="1"/>
  <c r="G442" i="29"/>
  <c r="G438" i="29"/>
  <c r="G437" i="29"/>
  <c r="G436" i="29"/>
  <c r="G433" i="29"/>
  <c r="G394" i="29"/>
  <c r="G363" i="29"/>
  <c r="G368" i="29" s="1"/>
  <c r="G362" i="29"/>
  <c r="G352" i="29"/>
  <c r="D349" i="29"/>
  <c r="G339" i="29"/>
  <c r="G335" i="29"/>
  <c r="G307" i="29"/>
  <c r="G297" i="29"/>
  <c r="G302" i="29" s="1"/>
  <c r="G296" i="29"/>
  <c r="G286" i="29"/>
  <c r="G285" i="29"/>
  <c r="G282" i="29"/>
  <c r="G268" i="29"/>
  <c r="G259" i="29"/>
  <c r="G172" i="29" s="1"/>
  <c r="G243" i="29"/>
  <c r="G234" i="29"/>
  <c r="G219" i="29"/>
  <c r="G204" i="29"/>
  <c r="G205" i="29" s="1"/>
  <c r="G200" i="29"/>
  <c r="G196" i="29"/>
  <c r="G192" i="29"/>
  <c r="G190" i="29"/>
  <c r="G189" i="29"/>
  <c r="G188" i="29"/>
  <c r="G170" i="29"/>
  <c r="G158" i="29"/>
  <c r="G157" i="29"/>
  <c r="G143" i="29"/>
  <c r="G139" i="29"/>
  <c r="G138" i="29"/>
  <c r="G120" i="29"/>
  <c r="G112" i="29"/>
  <c r="G102" i="29"/>
  <c r="G101" i="29"/>
  <c r="G78" i="29"/>
  <c r="G71" i="29" s="1"/>
  <c r="G69" i="29"/>
  <c r="G50" i="29"/>
  <c r="G51" i="29" s="1"/>
  <c r="D45" i="29"/>
  <c r="G36" i="29"/>
  <c r="G28" i="29"/>
  <c r="D23" i="29"/>
  <c r="B16" i="29"/>
  <c r="G56" i="13"/>
  <c r="I56" i="13"/>
  <c r="K56" i="13" s="1"/>
  <c r="M56" i="13" s="1"/>
  <c r="O56" i="13" s="1"/>
  <c r="Q56" i="13" s="1"/>
  <c r="G57" i="13"/>
  <c r="I57" i="13"/>
  <c r="K57" i="13" s="1"/>
  <c r="M57" i="13" s="1"/>
  <c r="O57" i="13" s="1"/>
  <c r="Q57" i="13" s="1"/>
  <c r="G58" i="13"/>
  <c r="I58" i="13" s="1"/>
  <c r="K58" i="13" s="1"/>
  <c r="M58" i="13" s="1"/>
  <c r="O58" i="13" s="1"/>
  <c r="Q58" i="13" s="1"/>
  <c r="G59" i="13"/>
  <c r="I59" i="13"/>
  <c r="K59" i="13" s="1"/>
  <c r="M59" i="13" s="1"/>
  <c r="O59" i="13" s="1"/>
  <c r="Q59" i="13" s="1"/>
  <c r="G60" i="13"/>
  <c r="I60" i="13" s="1"/>
  <c r="K60" i="13" s="1"/>
  <c r="M60" i="13" s="1"/>
  <c r="O60" i="13" s="1"/>
  <c r="Q60" i="13" s="1"/>
  <c r="G61" i="13"/>
  <c r="I61" i="13" s="1"/>
  <c r="K61" i="13" s="1"/>
  <c r="M61" i="13" s="1"/>
  <c r="O61" i="13" s="1"/>
  <c r="Q61" i="13" s="1"/>
  <c r="G62" i="13"/>
  <c r="I62" i="13"/>
  <c r="K62" i="13" s="1"/>
  <c r="M62" i="13" s="1"/>
  <c r="O62" i="13" s="1"/>
  <c r="Q62" i="13" s="1"/>
  <c r="G63" i="13"/>
  <c r="I63" i="13"/>
  <c r="K63" i="13" s="1"/>
  <c r="M63" i="13" s="1"/>
  <c r="O63" i="13" s="1"/>
  <c r="Q63" i="13" s="1"/>
  <c r="G64" i="13"/>
  <c r="I64" i="13" s="1"/>
  <c r="K64" i="13" s="1"/>
  <c r="M64" i="13" s="1"/>
  <c r="O64" i="13" s="1"/>
  <c r="Q64" i="13" s="1"/>
  <c r="G65" i="13"/>
  <c r="I65" i="13"/>
  <c r="K65" i="13" s="1"/>
  <c r="M65" i="13" s="1"/>
  <c r="O65" i="13" s="1"/>
  <c r="Q65" i="13" s="1"/>
  <c r="G66" i="13"/>
  <c r="I66" i="13" s="1"/>
  <c r="K66" i="13" s="1"/>
  <c r="M66" i="13" s="1"/>
  <c r="O66" i="13" s="1"/>
  <c r="Q66" i="13" s="1"/>
  <c r="G67" i="13"/>
  <c r="I67" i="13" s="1"/>
  <c r="K67" i="13" s="1"/>
  <c r="M67" i="13" s="1"/>
  <c r="O67" i="13" s="1"/>
  <c r="Q67" i="13" s="1"/>
  <c r="G68" i="13"/>
  <c r="I68" i="13"/>
  <c r="K68" i="13" s="1"/>
  <c r="M68" i="13" s="1"/>
  <c r="O68" i="13" s="1"/>
  <c r="Q68" i="13" s="1"/>
  <c r="G69" i="13"/>
  <c r="I69" i="13"/>
  <c r="K69" i="13" s="1"/>
  <c r="M69" i="13" s="1"/>
  <c r="O69" i="13" s="1"/>
  <c r="Q69" i="13" s="1"/>
  <c r="G70" i="13"/>
  <c r="I70" i="13" s="1"/>
  <c r="K70" i="13" s="1"/>
  <c r="M70" i="13" s="1"/>
  <c r="O70" i="13" s="1"/>
  <c r="Q70" i="13" s="1"/>
  <c r="G71" i="13"/>
  <c r="I71" i="13"/>
  <c r="K71" i="13" s="1"/>
  <c r="M71" i="13" s="1"/>
  <c r="O71" i="13" s="1"/>
  <c r="Q71" i="13" s="1"/>
  <c r="G72" i="13"/>
  <c r="I72" i="13" s="1"/>
  <c r="K72" i="13" s="1"/>
  <c r="M72" i="13" s="1"/>
  <c r="O72" i="13" s="1"/>
  <c r="Q72" i="13" s="1"/>
  <c r="G73" i="13"/>
  <c r="I73" i="13" s="1"/>
  <c r="K73" i="13" s="1"/>
  <c r="M73" i="13" s="1"/>
  <c r="O73" i="13" s="1"/>
  <c r="Q73" i="13" s="1"/>
  <c r="G74" i="13"/>
  <c r="I74" i="13"/>
  <c r="K74" i="13" s="1"/>
  <c r="M74" i="13" s="1"/>
  <c r="O74" i="13" s="1"/>
  <c r="Q74" i="13" s="1"/>
  <c r="G55" i="13"/>
  <c r="I55" i="13" s="1"/>
  <c r="K55" i="13" s="1"/>
  <c r="M55" i="13" s="1"/>
  <c r="O55" i="13" s="1"/>
  <c r="Q55" i="13" s="1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55" i="13"/>
  <c r="C67" i="13"/>
  <c r="C68" i="13"/>
  <c r="C69" i="13"/>
  <c r="C70" i="13"/>
  <c r="C71" i="13"/>
  <c r="C72" i="13"/>
  <c r="C73" i="13"/>
  <c r="C74" i="13"/>
  <c r="C56" i="13"/>
  <c r="C57" i="13"/>
  <c r="C58" i="13"/>
  <c r="C59" i="13"/>
  <c r="C60" i="13"/>
  <c r="C61" i="13"/>
  <c r="C62" i="13"/>
  <c r="C63" i="13"/>
  <c r="C64" i="13"/>
  <c r="C65" i="13"/>
  <c r="C66" i="13"/>
  <c r="C55" i="13"/>
  <c r="AJ41" i="28"/>
  <c r="AO41" i="28"/>
  <c r="AP41" i="28"/>
  <c r="AQ41" i="28"/>
  <c r="AR41" i="28"/>
  <c r="AS41" i="28"/>
  <c r="AT41" i="28"/>
  <c r="AU41" i="28"/>
  <c r="AV41" i="28"/>
  <c r="AW41" i="28"/>
  <c r="AX41" i="28"/>
  <c r="AY41" i="28"/>
  <c r="AZ41" i="28"/>
  <c r="BA41" i="28"/>
  <c r="BB41" i="28"/>
  <c r="BC41" i="28"/>
  <c r="BD41" i="28"/>
  <c r="G659" i="29" l="1"/>
  <c r="G70" i="29"/>
  <c r="G454" i="29"/>
  <c r="G303" i="29"/>
  <c r="G369" i="29"/>
  <c r="G191" i="29"/>
  <c r="I23" i="13"/>
  <c r="K23" i="13" s="1"/>
  <c r="M23" i="13" s="1"/>
  <c r="O23" i="13" s="1"/>
  <c r="Q23" i="13" s="1"/>
  <c r="I13" i="13"/>
  <c r="K13" i="13" s="1"/>
  <c r="G14" i="13"/>
  <c r="I14" i="13" s="1"/>
  <c r="K14" i="13" s="1"/>
  <c r="M14" i="13" s="1"/>
  <c r="O14" i="13" s="1"/>
  <c r="G15" i="13"/>
  <c r="I15" i="13" s="1"/>
  <c r="K15" i="13" s="1"/>
  <c r="M15" i="13" s="1"/>
  <c r="O15" i="13" s="1"/>
  <c r="G16" i="13"/>
  <c r="I16" i="13" s="1"/>
  <c r="K16" i="13" s="1"/>
  <c r="M16" i="13" s="1"/>
  <c r="O16" i="13" s="1"/>
  <c r="Q16" i="13" s="1"/>
  <c r="G17" i="13"/>
  <c r="I17" i="13" s="1"/>
  <c r="K17" i="13" s="1"/>
  <c r="M17" i="13" s="1"/>
  <c r="O17" i="13" s="1"/>
  <c r="Q17" i="13" s="1"/>
  <c r="G18" i="13"/>
  <c r="I18" i="13" s="1"/>
  <c r="K18" i="13" s="1"/>
  <c r="M18" i="13" s="1"/>
  <c r="O18" i="13" s="1"/>
  <c r="Q18" i="13" s="1"/>
  <c r="G19" i="13"/>
  <c r="I19" i="13" s="1"/>
  <c r="K19" i="13" s="1"/>
  <c r="M19" i="13" s="1"/>
  <c r="O19" i="13" s="1"/>
  <c r="G20" i="13"/>
  <c r="I20" i="13" s="1"/>
  <c r="K20" i="13" s="1"/>
  <c r="M20" i="13" s="1"/>
  <c r="O20" i="13" s="1"/>
  <c r="Q20" i="13" s="1"/>
  <c r="G21" i="13"/>
  <c r="I21" i="13" s="1"/>
  <c r="K21" i="13" s="1"/>
  <c r="M21" i="13" s="1"/>
  <c r="O21" i="13" s="1"/>
  <c r="Q21" i="13" s="1"/>
  <c r="G22" i="13"/>
  <c r="I22" i="13" s="1"/>
  <c r="K22" i="13" s="1"/>
  <c r="M22" i="13" s="1"/>
  <c r="O22" i="13" s="1"/>
  <c r="Q22" i="13" s="1"/>
  <c r="G23" i="13"/>
  <c r="G24" i="13"/>
  <c r="I24" i="13" s="1"/>
  <c r="K24" i="13" s="1"/>
  <c r="M24" i="13" s="1"/>
  <c r="O24" i="13" s="1"/>
  <c r="Q24" i="13" s="1"/>
  <c r="G25" i="13"/>
  <c r="I25" i="13" s="1"/>
  <c r="K25" i="13" s="1"/>
  <c r="M25" i="13" s="1"/>
  <c r="O25" i="13" s="1"/>
  <c r="G26" i="13"/>
  <c r="I26" i="13" s="1"/>
  <c r="K26" i="13" s="1"/>
  <c r="M26" i="13" s="1"/>
  <c r="O26" i="13" s="1"/>
  <c r="G27" i="13"/>
  <c r="I27" i="13" s="1"/>
  <c r="K27" i="13" s="1"/>
  <c r="M27" i="13" s="1"/>
  <c r="O27" i="13" s="1"/>
  <c r="Q27" i="13" s="1"/>
  <c r="G28" i="13"/>
  <c r="I28" i="13" s="1"/>
  <c r="K28" i="13" s="1"/>
  <c r="M28" i="13" s="1"/>
  <c r="O28" i="13" s="1"/>
  <c r="Q28" i="13" s="1"/>
  <c r="G29" i="13"/>
  <c r="I29" i="13" s="1"/>
  <c r="K29" i="13" s="1"/>
  <c r="M29" i="13" s="1"/>
  <c r="O29" i="13" s="1"/>
  <c r="Q29" i="13" s="1"/>
  <c r="G30" i="13"/>
  <c r="I30" i="13" s="1"/>
  <c r="K30" i="13" s="1"/>
  <c r="M30" i="13" s="1"/>
  <c r="O30" i="13" s="1"/>
  <c r="G31" i="13"/>
  <c r="I31" i="13" s="1"/>
  <c r="K31" i="13" s="1"/>
  <c r="M31" i="13" s="1"/>
  <c r="O31" i="13" s="1"/>
  <c r="G32" i="13"/>
  <c r="I32" i="13" s="1"/>
  <c r="K32" i="13" s="1"/>
  <c r="M32" i="13" s="1"/>
  <c r="O32" i="13" s="1"/>
  <c r="G13" i="13"/>
  <c r="H87" i="14" l="1"/>
  <c r="H88" i="14"/>
  <c r="H89" i="14"/>
  <c r="H90" i="14"/>
  <c r="H86" i="14"/>
  <c r="F15" i="28"/>
  <c r="F17" i="28"/>
  <c r="F16" i="28"/>
  <c r="G459" i="29" s="1"/>
  <c r="G461" i="29" s="1"/>
  <c r="G463" i="29" s="1"/>
  <c r="G465" i="29" s="1"/>
  <c r="E16" i="28"/>
  <c r="AH16" i="28" s="1"/>
  <c r="AI16" i="28" s="1"/>
  <c r="E17" i="28"/>
  <c r="AL17" i="28" s="1"/>
  <c r="G432" i="29" s="1"/>
  <c r="P14" i="28"/>
  <c r="P41" i="28" s="1"/>
  <c r="O14" i="28"/>
  <c r="M14" i="28"/>
  <c r="N14" i="28"/>
  <c r="Q14" i="28"/>
  <c r="R14" i="28" s="1"/>
  <c r="I14" i="28"/>
  <c r="K14" i="28"/>
  <c r="K41" i="28" s="1"/>
  <c r="J14" i="28"/>
  <c r="G598" i="29" s="1"/>
  <c r="H14" i="28"/>
  <c r="C121" i="3"/>
  <c r="C130" i="3"/>
  <c r="H84" i="14"/>
  <c r="H83" i="14"/>
  <c r="H82" i="14"/>
  <c r="H81" i="14"/>
  <c r="H80" i="14"/>
  <c r="H79" i="14"/>
  <c r="H76" i="14"/>
  <c r="H75" i="14"/>
  <c r="H74" i="14"/>
  <c r="H73" i="14"/>
  <c r="H72" i="14"/>
  <c r="H71" i="14"/>
  <c r="C103" i="3"/>
  <c r="H68" i="14"/>
  <c r="H67" i="14"/>
  <c r="H66" i="14"/>
  <c r="H65" i="14"/>
  <c r="H64" i="14"/>
  <c r="G613" i="29" l="1"/>
  <c r="R41" i="28"/>
  <c r="G612" i="29"/>
  <c r="N41" i="28"/>
  <c r="M41" i="28"/>
  <c r="G607" i="29"/>
  <c r="L41" i="28"/>
  <c r="G631" i="29"/>
  <c r="G630" i="29"/>
  <c r="G633" i="29"/>
  <c r="G593" i="29"/>
  <c r="H41" i="28"/>
  <c r="J41" i="28"/>
  <c r="Q41" i="28"/>
  <c r="G619" i="29"/>
  <c r="G614" i="29"/>
  <c r="O41" i="28"/>
  <c r="G608" i="29"/>
  <c r="I41" i="28"/>
  <c r="G596" i="29"/>
  <c r="AH17" i="28"/>
  <c r="G458" i="29" s="1"/>
  <c r="H78" i="14"/>
  <c r="H63" i="14"/>
  <c r="H70" i="14"/>
  <c r="G603" i="29" l="1"/>
  <c r="G460" i="29"/>
  <c r="G462" i="29"/>
  <c r="G464" i="29"/>
  <c r="G620" i="29"/>
  <c r="AI17" i="28"/>
  <c r="AG15" i="28"/>
  <c r="G639" i="29" s="1"/>
  <c r="F14" i="28"/>
  <c r="H61" i="14"/>
  <c r="H60" i="14"/>
  <c r="H59" i="14" s="1"/>
  <c r="V15" i="28"/>
  <c r="T15" i="28"/>
  <c r="S15" i="28"/>
  <c r="E15" i="28"/>
  <c r="E14" i="28"/>
  <c r="G666" i="29" l="1"/>
  <c r="G629" i="29"/>
  <c r="G588" i="29"/>
  <c r="G628" i="29"/>
  <c r="AH15" i="28"/>
  <c r="G634" i="29"/>
  <c r="AL14" i="28"/>
  <c r="G647" i="29" s="1"/>
  <c r="S14" i="28"/>
  <c r="AH14" i="28"/>
  <c r="AF14" i="28"/>
  <c r="G640" i="29" s="1"/>
  <c r="Y15" i="28"/>
  <c r="AI15" i="28"/>
  <c r="U14" i="28"/>
  <c r="Z14" i="28" s="1"/>
  <c r="H57" i="14"/>
  <c r="H56" i="14"/>
  <c r="H55" i="14"/>
  <c r="Q14" i="13"/>
  <c r="M13" i="13"/>
  <c r="O13" i="13" s="1"/>
  <c r="Q13" i="13" s="1"/>
  <c r="E12" i="28"/>
  <c r="H52" i="14"/>
  <c r="H51" i="14"/>
  <c r="AF10" i="28"/>
  <c r="AG10" i="28"/>
  <c r="F11" i="28"/>
  <c r="E11" i="28"/>
  <c r="E10" i="28"/>
  <c r="H48" i="14"/>
  <c r="H47" i="14"/>
  <c r="H46" i="14"/>
  <c r="H45" i="14"/>
  <c r="H44" i="14"/>
  <c r="H43" i="14"/>
  <c r="C185" i="3"/>
  <c r="H40" i="14"/>
  <c r="H39" i="14"/>
  <c r="G665" i="29" l="1"/>
  <c r="G669" i="29" s="1"/>
  <c r="G632" i="29"/>
  <c r="G645" i="29"/>
  <c r="G667" i="29"/>
  <c r="G671" i="29"/>
  <c r="G587" i="29"/>
  <c r="W41" i="28"/>
  <c r="Z11" i="28"/>
  <c r="G348" i="29"/>
  <c r="AK41" i="28"/>
  <c r="AI14" i="28"/>
  <c r="G648" i="29"/>
  <c r="U11" i="28"/>
  <c r="G646" i="29"/>
  <c r="G672" i="29"/>
  <c r="G670" i="29"/>
  <c r="G668" i="29"/>
  <c r="AL10" i="28"/>
  <c r="H54" i="14"/>
  <c r="H38" i="14"/>
  <c r="H42" i="14"/>
  <c r="H50" i="14"/>
  <c r="G358" i="29" l="1"/>
  <c r="G370" i="29"/>
  <c r="AL41" i="28"/>
  <c r="AG9" i="28"/>
  <c r="AF9" i="28"/>
  <c r="AF41" i="28" s="1"/>
  <c r="Z10" i="28"/>
  <c r="G292" i="29" s="1"/>
  <c r="E9" i="28"/>
  <c r="AH9" i="28" s="1"/>
  <c r="G317" i="29" s="1"/>
  <c r="F9" i="28"/>
  <c r="U9" i="28" s="1"/>
  <c r="AH7" i="28"/>
  <c r="G206" i="29" s="1"/>
  <c r="AH8" i="28"/>
  <c r="AI8" i="28" s="1"/>
  <c r="C43" i="3"/>
  <c r="H34" i="14"/>
  <c r="H36" i="14"/>
  <c r="H35" i="14"/>
  <c r="D9" i="28"/>
  <c r="F5" i="28"/>
  <c r="D10" i="28"/>
  <c r="F10" i="28" s="1"/>
  <c r="AG7" i="28"/>
  <c r="D7" i="28"/>
  <c r="E8" i="28"/>
  <c r="AB7" i="28"/>
  <c r="Y7" i="28"/>
  <c r="G180" i="29" s="1"/>
  <c r="F8" i="28"/>
  <c r="U8" i="28" s="1"/>
  <c r="G177" i="29" s="1"/>
  <c r="F7" i="28"/>
  <c r="AE10" i="28" l="1"/>
  <c r="G374" i="29"/>
  <c r="G357" i="29"/>
  <c r="G347" i="29"/>
  <c r="G208" i="29"/>
  <c r="AE9" i="28"/>
  <c r="G281" i="29"/>
  <c r="G323" i="29"/>
  <c r="G321" i="29"/>
  <c r="G319" i="29"/>
  <c r="AG41" i="28"/>
  <c r="G184" i="29"/>
  <c r="V7" i="28"/>
  <c r="G207" i="29"/>
  <c r="G166" i="29"/>
  <c r="AB8" i="28"/>
  <c r="G167" i="29"/>
  <c r="AD9" i="28"/>
  <c r="G318" i="29" s="1"/>
  <c r="S5" i="28"/>
  <c r="AE5" i="28"/>
  <c r="H33" i="14"/>
  <c r="AE7" i="28"/>
  <c r="Z9" i="28"/>
  <c r="U10" i="28"/>
  <c r="G291" i="29" s="1"/>
  <c r="AD10" i="28"/>
  <c r="AI9" i="28"/>
  <c r="AI7" i="28"/>
  <c r="AA8" i="28"/>
  <c r="AC8" i="28" s="1"/>
  <c r="AE8" i="28"/>
  <c r="AA7" i="28"/>
  <c r="AC7" i="28" s="1"/>
  <c r="Z8" i="28"/>
  <c r="G178" i="29" s="1"/>
  <c r="H31" i="14"/>
  <c r="H28" i="14"/>
  <c r="H29" i="14"/>
  <c r="H30" i="14"/>
  <c r="H27" i="14"/>
  <c r="G40" i="29" l="1"/>
  <c r="G35" i="29"/>
  <c r="G320" i="29"/>
  <c r="G209" i="29"/>
  <c r="G375" i="29"/>
  <c r="G179" i="29"/>
  <c r="V41" i="28"/>
  <c r="H26" i="14"/>
  <c r="G322" i="29" l="1"/>
  <c r="G376" i="29"/>
  <c r="G44" i="29"/>
  <c r="G41" i="29"/>
  <c r="G42" i="29"/>
  <c r="F6" i="28"/>
  <c r="G23" i="29" s="1"/>
  <c r="E6" i="28"/>
  <c r="AC6" i="28"/>
  <c r="H20" i="14"/>
  <c r="H23" i="14"/>
  <c r="H24" i="14"/>
  <c r="H19" i="14"/>
  <c r="H16" i="14"/>
  <c r="H15" i="14"/>
  <c r="H14" i="14"/>
  <c r="H13" i="14" s="1"/>
  <c r="G377" i="29" l="1"/>
  <c r="AH6" i="28"/>
  <c r="G126" i="29" s="1"/>
  <c r="G111" i="29"/>
  <c r="G324" i="29"/>
  <c r="H22" i="14"/>
  <c r="H18" i="14"/>
  <c r="AD6" i="28"/>
  <c r="S6" i="28"/>
  <c r="T6" i="28"/>
  <c r="Z6" i="28"/>
  <c r="AE6" i="28"/>
  <c r="AE41" i="28" s="1"/>
  <c r="U6" i="28"/>
  <c r="G121" i="29" s="1"/>
  <c r="AI6" i="28" l="1"/>
  <c r="Z41" i="28"/>
  <c r="G122" i="29"/>
  <c r="G119" i="29"/>
  <c r="G118" i="29"/>
  <c r="G109" i="29"/>
  <c r="G110" i="29"/>
  <c r="S41" i="28"/>
  <c r="G127" i="29"/>
  <c r="AD41" i="28"/>
  <c r="G132" i="29"/>
  <c r="G128" i="29"/>
  <c r="C25" i="3"/>
  <c r="G11" i="14"/>
  <c r="H11" i="14" s="1"/>
  <c r="H10" i="14"/>
  <c r="H8" i="14"/>
  <c r="H9" i="14"/>
  <c r="E5" i="28"/>
  <c r="AH5" i="28" s="1"/>
  <c r="AH41" i="28" l="1"/>
  <c r="G61" i="29"/>
  <c r="G130" i="29"/>
  <c r="G22" i="29"/>
  <c r="G129" i="29"/>
  <c r="G133" i="29"/>
  <c r="AB5" i="28"/>
  <c r="AB41" i="28" s="1"/>
  <c r="Y5" i="28"/>
  <c r="T5" i="28"/>
  <c r="T41" i="28" s="1"/>
  <c r="H7" i="14"/>
  <c r="U5" i="28"/>
  <c r="U41" i="28" s="1"/>
  <c r="AA5" i="28"/>
  <c r="Y41" i="28" l="1"/>
  <c r="G45" i="29"/>
  <c r="G63" i="29"/>
  <c r="AC5" i="28"/>
  <c r="G55" i="29"/>
  <c r="AA41" i="28"/>
  <c r="G131" i="29"/>
  <c r="AI5" i="28"/>
  <c r="D15" i="16"/>
  <c r="G6" i="3" l="1"/>
  <c r="J45" i="29"/>
  <c r="J634" i="29"/>
  <c r="J180" i="29"/>
  <c r="G62" i="29"/>
  <c r="AC41" i="28"/>
  <c r="AI41" i="28"/>
  <c r="G60" i="29"/>
  <c r="G59" i="29"/>
  <c r="H71" i="3"/>
  <c r="I71" i="3" s="1"/>
  <c r="H48" i="3"/>
  <c r="I48" i="3" s="1"/>
  <c r="H152" i="3"/>
  <c r="I152" i="3" s="1"/>
  <c r="H175" i="3"/>
  <c r="I175" i="3" s="1"/>
  <c r="H90" i="3"/>
  <c r="I90" i="3" s="1"/>
  <c r="H149" i="3"/>
  <c r="I149" i="3" s="1"/>
  <c r="H155" i="3"/>
  <c r="I155" i="3" s="1"/>
  <c r="H55" i="3"/>
  <c r="I55" i="3" s="1"/>
  <c r="H69" i="3"/>
  <c r="I69" i="3" s="1"/>
  <c r="H54" i="3"/>
  <c r="I54" i="3" s="1"/>
  <c r="H85" i="3"/>
  <c r="I85" i="3" s="1"/>
  <c r="H150" i="3"/>
  <c r="I150" i="3" s="1"/>
  <c r="H57" i="3"/>
  <c r="I57" i="3" s="1"/>
  <c r="H27" i="3"/>
  <c r="I27" i="3" s="1"/>
  <c r="H181" i="3"/>
  <c r="I181" i="3" s="1"/>
  <c r="H109" i="3"/>
  <c r="I109" i="3" s="1"/>
  <c r="H77" i="3"/>
  <c r="I77" i="3" s="1"/>
  <c r="H137" i="3"/>
  <c r="I137" i="3" s="1"/>
  <c r="H132" i="3"/>
  <c r="I132" i="3" s="1"/>
  <c r="H91" i="3"/>
  <c r="I91" i="3" s="1"/>
  <c r="H99" i="3"/>
  <c r="I99" i="3" s="1"/>
  <c r="H34" i="3"/>
  <c r="I34" i="3" s="1"/>
  <c r="H135" i="3"/>
  <c r="I135" i="3" s="1"/>
  <c r="H76" i="3"/>
  <c r="I76" i="3" s="1"/>
  <c r="H79" i="3"/>
  <c r="I79" i="3" s="1"/>
  <c r="H95" i="3"/>
  <c r="I95" i="3" s="1"/>
  <c r="H83" i="3"/>
  <c r="I83" i="3" s="1"/>
  <c r="H68" i="3"/>
  <c r="I68" i="3" s="1"/>
  <c r="H186" i="3"/>
  <c r="I186" i="3" s="1"/>
  <c r="H129" i="3"/>
  <c r="I129" i="3" s="1"/>
  <c r="H97" i="3"/>
  <c r="I97" i="3" s="1"/>
  <c r="H103" i="3"/>
  <c r="I103" i="3" s="1"/>
  <c r="H113" i="3"/>
  <c r="I113" i="3" s="1"/>
  <c r="H134" i="3"/>
  <c r="I134" i="3" s="1"/>
  <c r="H101" i="3"/>
  <c r="I101" i="3" s="1"/>
  <c r="H93" i="3"/>
  <c r="I93" i="3" s="1"/>
  <c r="H139" i="3"/>
  <c r="I139" i="3" s="1"/>
  <c r="H127" i="3"/>
  <c r="I127" i="3" s="1"/>
  <c r="H117" i="3"/>
  <c r="I117" i="3" s="1"/>
  <c r="H121" i="3"/>
  <c r="I121" i="3" s="1"/>
  <c r="H130" i="3"/>
  <c r="I130" i="3" s="1"/>
  <c r="H118" i="3"/>
  <c r="I118" i="3" s="1"/>
  <c r="H89" i="3"/>
  <c r="I89" i="3" s="1"/>
  <c r="H177" i="3"/>
  <c r="I177" i="3" s="1"/>
  <c r="H56" i="3"/>
  <c r="I56" i="3" s="1"/>
  <c r="H21" i="3"/>
  <c r="I21" i="3" s="1"/>
  <c r="H148" i="3"/>
  <c r="I148" i="3" s="1"/>
  <c r="H86" i="3"/>
  <c r="I86" i="3" s="1"/>
  <c r="H160" i="3"/>
  <c r="I160" i="3" s="1"/>
  <c r="H18" i="3"/>
  <c r="I18" i="3" s="1"/>
  <c r="H30" i="3"/>
  <c r="I30" i="3" s="1"/>
  <c r="H37" i="3"/>
  <c r="H26" i="3"/>
  <c r="I26" i="3" s="1"/>
  <c r="H73" i="3"/>
  <c r="I73" i="3" s="1"/>
  <c r="H163" i="3"/>
  <c r="I163" i="3" s="1"/>
  <c r="H39" i="3"/>
  <c r="I39" i="3" s="1"/>
  <c r="H176" i="3"/>
  <c r="I176" i="3" s="1"/>
  <c r="H42" i="3"/>
  <c r="I42" i="3" s="1"/>
  <c r="H29" i="3"/>
  <c r="I29" i="3" s="1"/>
  <c r="H102" i="3"/>
  <c r="I102" i="3" s="1"/>
  <c r="H13" i="3"/>
  <c r="I13" i="3" s="1"/>
  <c r="H28" i="3"/>
  <c r="I28" i="3" s="1"/>
  <c r="H66" i="3"/>
  <c r="I66" i="3" s="1"/>
  <c r="H110" i="3"/>
  <c r="I110" i="3" s="1"/>
  <c r="H159" i="3"/>
  <c r="H24" i="3"/>
  <c r="H170" i="3"/>
  <c r="I170" i="3" s="1"/>
  <c r="H46" i="3"/>
  <c r="I46" i="3" s="1"/>
  <c r="H38" i="3"/>
  <c r="I38" i="3" s="1"/>
  <c r="H80" i="3"/>
  <c r="I80" i="3" s="1"/>
  <c r="H180" i="3"/>
  <c r="I180" i="3" s="1"/>
  <c r="H104" i="3"/>
  <c r="I104" i="3" s="1"/>
  <c r="H112" i="3"/>
  <c r="I112" i="3" s="1"/>
  <c r="H116" i="3"/>
  <c r="I116" i="3" s="1"/>
  <c r="H119" i="3"/>
  <c r="I119" i="3" s="1"/>
  <c r="H114" i="3"/>
  <c r="I114" i="3" s="1"/>
  <c r="H35" i="3"/>
  <c r="I35" i="3" s="1"/>
  <c r="H50" i="3"/>
  <c r="I50" i="3" s="1"/>
  <c r="H171" i="3"/>
  <c r="I171" i="3" s="1"/>
  <c r="H78" i="3"/>
  <c r="I78" i="3" s="1"/>
  <c r="H115" i="3"/>
  <c r="I115" i="3" s="1"/>
  <c r="H75" i="3"/>
  <c r="I75" i="3" s="1"/>
  <c r="H172" i="3"/>
  <c r="I172" i="3" s="1"/>
  <c r="H165" i="3"/>
  <c r="I165" i="3" s="1"/>
  <c r="H45" i="3"/>
  <c r="I45" i="3" s="1"/>
  <c r="H43" i="3"/>
  <c r="I43" i="3" s="1"/>
  <c r="H51" i="3"/>
  <c r="H100" i="3"/>
  <c r="I100" i="3" s="1"/>
  <c r="H84" i="3"/>
  <c r="I84" i="3" s="1"/>
  <c r="H59" i="3"/>
  <c r="I59" i="3" s="1"/>
  <c r="H70" i="3"/>
  <c r="I70" i="3" s="1"/>
  <c r="H52" i="3"/>
  <c r="I52" i="3" s="1"/>
  <c r="H161" i="3"/>
  <c r="I161" i="3" s="1"/>
  <c r="H123" i="3"/>
  <c r="I123" i="3" s="1"/>
  <c r="H98" i="3"/>
  <c r="I98" i="3" s="1"/>
  <c r="H108" i="3"/>
  <c r="I108" i="3" s="1"/>
  <c r="H128" i="3"/>
  <c r="I128" i="3" s="1"/>
  <c r="H140" i="3"/>
  <c r="I140" i="3" s="1"/>
  <c r="H72" i="3"/>
  <c r="I72" i="3" s="1"/>
  <c r="H96" i="3"/>
  <c r="I96" i="3" s="1"/>
  <c r="H164" i="3"/>
  <c r="I164" i="3" s="1"/>
  <c r="H169" i="3"/>
  <c r="I169" i="3" s="1"/>
  <c r="H173" i="3"/>
  <c r="I173" i="3" s="1"/>
  <c r="H138" i="3"/>
  <c r="I138" i="3" s="1"/>
  <c r="H124" i="3"/>
  <c r="I124" i="3" s="1"/>
  <c r="H156" i="3"/>
  <c r="I156" i="3" s="1"/>
  <c r="H141" i="3"/>
  <c r="I141" i="3" s="1"/>
  <c r="H87" i="3"/>
  <c r="H182" i="3"/>
  <c r="I182" i="3" s="1"/>
  <c r="H133" i="3"/>
  <c r="I133" i="3" s="1"/>
  <c r="H178" i="3"/>
  <c r="I178" i="3" s="1"/>
  <c r="H157" i="3"/>
  <c r="I157" i="3" s="1"/>
  <c r="H144" i="3"/>
  <c r="I144" i="3" s="1"/>
  <c r="H61" i="3"/>
  <c r="I61" i="3" s="1"/>
  <c r="H81" i="3"/>
  <c r="I81" i="3" s="1"/>
  <c r="H183" i="3"/>
  <c r="I183" i="3" s="1"/>
  <c r="H136" i="3"/>
  <c r="I136" i="3" s="1"/>
  <c r="H60" i="3"/>
  <c r="I60" i="3" s="1"/>
  <c r="H184" i="3"/>
  <c r="I184" i="3" s="1"/>
  <c r="H179" i="3"/>
  <c r="I179" i="3" s="1"/>
  <c r="H188" i="3"/>
  <c r="I188" i="3" s="1"/>
  <c r="H106" i="3"/>
  <c r="I106" i="3" s="1"/>
  <c r="H153" i="3"/>
  <c r="I153" i="3" s="1"/>
  <c r="H162" i="3"/>
  <c r="I162" i="3" s="1"/>
  <c r="H111" i="3"/>
  <c r="I111" i="3" s="1"/>
  <c r="H145" i="3"/>
  <c r="I145" i="3" s="1"/>
  <c r="H63" i="3"/>
  <c r="I63" i="3" s="1"/>
  <c r="H33" i="3"/>
  <c r="I33" i="3" s="1"/>
  <c r="H92" i="3"/>
  <c r="I92" i="3" s="1"/>
  <c r="H17" i="3"/>
  <c r="I17" i="3" s="1"/>
  <c r="H20" i="3"/>
  <c r="I20" i="3" s="1"/>
  <c r="H41" i="3"/>
  <c r="I41" i="3" s="1"/>
  <c r="H185" i="3"/>
  <c r="I185" i="3" s="1"/>
  <c r="H16" i="3"/>
  <c r="I16" i="3" s="1"/>
  <c r="H158" i="3"/>
  <c r="I158" i="3" s="1"/>
  <c r="H32" i="3"/>
  <c r="H44" i="3"/>
  <c r="H67" i="3"/>
  <c r="H166" i="3"/>
  <c r="I166" i="3" s="1"/>
  <c r="H187" i="3"/>
  <c r="I187" i="3" s="1"/>
  <c r="H168" i="3"/>
  <c r="I168" i="3" s="1"/>
  <c r="H105" i="3"/>
  <c r="I105" i="3" s="1"/>
  <c r="H122" i="3"/>
  <c r="I122" i="3" s="1"/>
  <c r="H64" i="3"/>
  <c r="I64" i="3" s="1"/>
  <c r="H53" i="3"/>
  <c r="I53" i="3" s="1"/>
  <c r="H126" i="3"/>
  <c r="I126" i="3" s="1"/>
  <c r="H143" i="3"/>
  <c r="I143" i="3" s="1"/>
  <c r="H125" i="3"/>
  <c r="I125" i="3" s="1"/>
  <c r="H167" i="3"/>
  <c r="H151" i="3"/>
  <c r="I151" i="3" s="1"/>
  <c r="H49" i="3"/>
  <c r="I49" i="3" s="1"/>
  <c r="H58" i="3"/>
  <c r="I58" i="3" s="1"/>
  <c r="H74" i="3"/>
  <c r="I74" i="3" s="1"/>
  <c r="H154" i="3"/>
  <c r="I154" i="3" s="1"/>
  <c r="H142" i="3"/>
  <c r="I142" i="3" s="1"/>
  <c r="H147" i="3"/>
  <c r="I147" i="3" s="1"/>
  <c r="H23" i="3"/>
  <c r="I23" i="3" s="1"/>
  <c r="H40" i="3"/>
  <c r="I40" i="3" s="1"/>
  <c r="H47" i="3"/>
  <c r="H31" i="3"/>
  <c r="H25" i="3"/>
  <c r="I25" i="3" s="1"/>
  <c r="H14" i="3"/>
  <c r="I14" i="3" s="1"/>
  <c r="H15" i="3"/>
  <c r="I15" i="3" s="1"/>
  <c r="Q30" i="13"/>
  <c r="Q31" i="13"/>
  <c r="Q32" i="13"/>
  <c r="K13" i="3" l="1"/>
  <c r="J526" i="29"/>
  <c r="J508" i="29"/>
  <c r="J558" i="29"/>
  <c r="J230" i="29"/>
  <c r="J301" i="29"/>
  <c r="J567" i="29"/>
  <c r="J568" i="29" s="1"/>
  <c r="J414" i="29"/>
  <c r="J250" i="29"/>
  <c r="J611" i="29"/>
  <c r="J597" i="29"/>
  <c r="J417" i="29"/>
  <c r="J283" i="29"/>
  <c r="J659" i="29"/>
  <c r="J434" i="29"/>
  <c r="J577" i="29"/>
  <c r="J412" i="29"/>
  <c r="J266" i="29"/>
  <c r="J600" i="29"/>
  <c r="J423" i="29"/>
  <c r="J323" i="29"/>
  <c r="J460" i="29"/>
  <c r="J216" i="29"/>
  <c r="J71" i="29"/>
  <c r="J258" i="29"/>
  <c r="J132" i="29"/>
  <c r="J644" i="29"/>
  <c r="J119" i="29"/>
  <c r="J335" i="29"/>
  <c r="J113" i="29"/>
  <c r="J661" i="29"/>
  <c r="J208" i="29"/>
  <c r="J241" i="29"/>
  <c r="J401" i="29"/>
  <c r="J133" i="29"/>
  <c r="J381" i="29"/>
  <c r="J84" i="29"/>
  <c r="J253" i="29"/>
  <c r="J118" i="29"/>
  <c r="J692" i="29"/>
  <c r="J302" i="29"/>
  <c r="J28" i="29"/>
  <c r="J284" i="29"/>
  <c r="J150" i="29"/>
  <c r="J646" i="29"/>
  <c r="J333" i="29"/>
  <c r="J140" i="29"/>
  <c r="J669" i="29"/>
  <c r="J671" i="29"/>
  <c r="J528" i="29"/>
  <c r="J506" i="29"/>
  <c r="J578" i="29"/>
  <c r="J61" i="29"/>
  <c r="J320" i="29"/>
  <c r="J697" i="29"/>
  <c r="J559" i="29"/>
  <c r="J384" i="29"/>
  <c r="J246" i="29"/>
  <c r="J602" i="29"/>
  <c r="J589" i="29"/>
  <c r="J413" i="29"/>
  <c r="J267" i="29"/>
  <c r="J648" i="29"/>
  <c r="J406" i="29"/>
  <c r="J571" i="29"/>
  <c r="J395" i="29"/>
  <c r="J262" i="29"/>
  <c r="J593" i="29"/>
  <c r="J419" i="29"/>
  <c r="J313" i="29"/>
  <c r="J452" i="29"/>
  <c r="J60" i="29"/>
  <c r="J239" i="29"/>
  <c r="J122" i="29"/>
  <c r="J85" i="29"/>
  <c r="J285" i="29"/>
  <c r="J110" i="29"/>
  <c r="J652" i="29"/>
  <c r="J171" i="29"/>
  <c r="J227" i="29"/>
  <c r="J392" i="29"/>
  <c r="J109" i="29"/>
  <c r="J391" i="29"/>
  <c r="J79" i="29"/>
  <c r="J668" i="29"/>
  <c r="J21" i="29"/>
  <c r="J205" i="29"/>
  <c r="J599" i="29"/>
  <c r="J667" i="29"/>
  <c r="J473" i="29"/>
  <c r="J448" i="29"/>
  <c r="J449" i="29" s="1"/>
  <c r="J694" i="29"/>
  <c r="J580" i="29"/>
  <c r="J245" i="29"/>
  <c r="J595" i="29"/>
  <c r="J433" i="29"/>
  <c r="J421" i="29"/>
  <c r="J214" i="29"/>
  <c r="J520" i="29"/>
  <c r="J22" i="29"/>
  <c r="J686" i="29"/>
  <c r="J542" i="29"/>
  <c r="J367" i="29"/>
  <c r="J713" i="29"/>
  <c r="J496" i="29"/>
  <c r="J572" i="29"/>
  <c r="J263" i="29"/>
  <c r="J402" i="29"/>
  <c r="J557" i="29"/>
  <c r="J386" i="29"/>
  <c r="J252" i="29"/>
  <c r="J548" i="29"/>
  <c r="J415" i="29"/>
  <c r="J273" i="29"/>
  <c r="J399" i="29"/>
  <c r="J191" i="29"/>
  <c r="J55" i="29"/>
  <c r="J56" i="29" s="1"/>
  <c r="J235" i="29"/>
  <c r="J114" i="29"/>
  <c r="J435" i="29"/>
  <c r="J81" i="29"/>
  <c r="J242" i="29"/>
  <c r="J102" i="29"/>
  <c r="J639" i="29"/>
  <c r="J143" i="29"/>
  <c r="J192" i="29"/>
  <c r="J377" i="29"/>
  <c r="J101" i="29"/>
  <c r="J487" i="29"/>
  <c r="J251" i="29"/>
  <c r="J74" i="29"/>
  <c r="J77" i="29"/>
  <c r="J220" i="29"/>
  <c r="J112" i="29"/>
  <c r="J70" i="29"/>
  <c r="J139" i="29"/>
  <c r="J207" i="29"/>
  <c r="J715" i="29"/>
  <c r="J471" i="29"/>
  <c r="J172" i="29"/>
  <c r="J46" i="29"/>
  <c r="J236" i="29"/>
  <c r="J532" i="29"/>
  <c r="J319" i="29"/>
  <c r="J291" i="29"/>
  <c r="J249" i="29"/>
  <c r="J206" i="29"/>
  <c r="J681" i="29"/>
  <c r="J297" i="29"/>
  <c r="J453" i="29"/>
  <c r="J690" i="29"/>
  <c r="J27" i="29"/>
  <c r="J141" i="29"/>
  <c r="J517" i="29"/>
  <c r="J502" i="29"/>
  <c r="J400" i="29"/>
  <c r="J43" i="29"/>
  <c r="J76" i="29"/>
  <c r="J670" i="29"/>
  <c r="J482" i="29"/>
  <c r="J356" i="29"/>
  <c r="J709" i="29"/>
  <c r="J470" i="29"/>
  <c r="J552" i="29"/>
  <c r="J383" i="29"/>
  <c r="J259" i="29"/>
  <c r="J629" i="29"/>
  <c r="J363" i="29"/>
  <c r="J549" i="29"/>
  <c r="J382" i="29"/>
  <c r="J248" i="29"/>
  <c r="J527" i="29"/>
  <c r="J411" i="29"/>
  <c r="J265" i="29"/>
  <c r="J390" i="29"/>
  <c r="J178" i="29"/>
  <c r="J707" i="29"/>
  <c r="J229" i="29"/>
  <c r="J100" i="29"/>
  <c r="J407" i="29"/>
  <c r="J238" i="29"/>
  <c r="J99" i="29"/>
  <c r="J631" i="29"/>
  <c r="J131" i="29"/>
  <c r="J403" i="29"/>
  <c r="J269" i="29"/>
  <c r="J83" i="29"/>
  <c r="J72" i="29"/>
  <c r="J368" i="29"/>
  <c r="J307" i="29"/>
  <c r="J303" i="29"/>
  <c r="J509" i="29"/>
  <c r="J281" i="29"/>
  <c r="J714" i="29"/>
  <c r="J50" i="29"/>
  <c r="J632" i="29"/>
  <c r="J645" i="29"/>
  <c r="J463" i="29"/>
  <c r="J86" i="29"/>
  <c r="J35" i="29"/>
  <c r="J264" i="29"/>
  <c r="J619" i="29"/>
  <c r="J292" i="29"/>
  <c r="J416" i="29"/>
  <c r="J551" i="29"/>
  <c r="J405" i="29"/>
  <c r="J573" i="29"/>
  <c r="J510" i="29"/>
  <c r="J519" i="29"/>
  <c r="J596" i="29"/>
  <c r="J128" i="29"/>
  <c r="J93" i="29"/>
  <c r="J660" i="29"/>
  <c r="J478" i="29"/>
  <c r="J350" i="29"/>
  <c r="J703" i="29"/>
  <c r="J462" i="29"/>
  <c r="J544" i="29"/>
  <c r="J712" i="29"/>
  <c r="J626" i="29"/>
  <c r="J352" i="29"/>
  <c r="J480" i="29"/>
  <c r="J376" i="29"/>
  <c r="J698" i="29"/>
  <c r="J497" i="29"/>
  <c r="J385" i="29"/>
  <c r="J261" i="29"/>
  <c r="J375" i="29"/>
  <c r="J166" i="29"/>
  <c r="J691" i="29"/>
  <c r="J225" i="29"/>
  <c r="J92" i="29"/>
  <c r="J336" i="29"/>
  <c r="J44" i="29"/>
  <c r="J234" i="29"/>
  <c r="J91" i="29"/>
  <c r="J404" i="29"/>
  <c r="J121" i="29"/>
  <c r="J370" i="29"/>
  <c r="J244" i="29"/>
  <c r="J334" i="29"/>
  <c r="J347" i="29"/>
  <c r="J438" i="29"/>
  <c r="J111" i="29"/>
  <c r="J680" i="29"/>
  <c r="J464" i="29"/>
  <c r="J622" i="29"/>
  <c r="J322" i="29"/>
  <c r="J268" i="29"/>
  <c r="J615" i="29"/>
  <c r="J609" i="29"/>
  <c r="J218" i="29"/>
  <c r="J437" i="29"/>
  <c r="J588" i="29"/>
  <c r="J516" i="29"/>
  <c r="J518" i="29"/>
  <c r="J98" i="29"/>
  <c r="J167" i="29"/>
  <c r="J638" i="29"/>
  <c r="J474" i="29"/>
  <c r="J339" i="29"/>
  <c r="J693" i="29"/>
  <c r="J716" i="29"/>
  <c r="J369" i="29"/>
  <c r="J708" i="29"/>
  <c r="J620" i="29"/>
  <c r="J338" i="29"/>
  <c r="J476" i="29"/>
  <c r="J483" i="29"/>
  <c r="J157" i="29"/>
  <c r="J676" i="29"/>
  <c r="J209" i="29"/>
  <c r="J228" i="29"/>
  <c r="J69" i="29"/>
  <c r="J312" i="29"/>
  <c r="J314" i="29" s="1"/>
  <c r="J432" i="29"/>
  <c r="J41" i="29"/>
  <c r="J454" i="29"/>
  <c r="J82" i="29"/>
  <c r="J170" i="29"/>
  <c r="J274" i="29"/>
  <c r="J200" i="29"/>
  <c r="J201" i="29" s="1"/>
  <c r="J505" i="29"/>
  <c r="J511" i="29"/>
  <c r="J42" i="29"/>
  <c r="J63" i="29"/>
  <c r="J630" i="29"/>
  <c r="J465" i="29"/>
  <c r="J332" i="29"/>
  <c r="J689" i="29"/>
  <c r="J685" i="29"/>
  <c r="J481" i="29"/>
  <c r="J358" i="29"/>
  <c r="J702" i="29"/>
  <c r="J610" i="29"/>
  <c r="J324" i="29"/>
  <c r="J472" i="29"/>
  <c r="J330" i="29"/>
  <c r="J658" i="29"/>
  <c r="J479" i="29"/>
  <c r="J362" i="29"/>
  <c r="J247" i="29"/>
  <c r="J357" i="29"/>
  <c r="J138" i="29"/>
  <c r="J633" i="29"/>
  <c r="J196" i="29"/>
  <c r="J197" i="29" s="1"/>
  <c r="J68" i="29"/>
  <c r="J296" i="29"/>
  <c r="J687" i="29"/>
  <c r="J190" i="29"/>
  <c r="J73" i="29"/>
  <c r="J80" i="29"/>
  <c r="J237" i="29"/>
  <c r="J217" i="29"/>
  <c r="J711" i="29"/>
  <c r="J130" i="29"/>
  <c r="J257" i="29"/>
  <c r="J213" i="29"/>
  <c r="J90" i="29"/>
  <c r="J538" i="29"/>
  <c r="J539" i="29" s="1"/>
  <c r="J628" i="29"/>
  <c r="J608" i="29"/>
  <c r="J168" i="29"/>
  <c r="J189" i="29"/>
  <c r="J142" i="29"/>
  <c r="J657" i="29"/>
  <c r="J442" i="29"/>
  <c r="J677" i="29"/>
  <c r="J560" i="29"/>
  <c r="J176" i="29"/>
  <c r="J422" i="29"/>
  <c r="J282" i="29"/>
  <c r="J144" i="29"/>
  <c r="J329" i="29"/>
  <c r="J155" i="29"/>
  <c r="J120" i="29"/>
  <c r="J75" i="29"/>
  <c r="J94" i="29"/>
  <c r="J621" i="29"/>
  <c r="J444" i="29"/>
  <c r="J328" i="29"/>
  <c r="J679" i="29"/>
  <c r="J672" i="29"/>
  <c r="J477" i="29"/>
  <c r="J696" i="29"/>
  <c r="J594" i="29"/>
  <c r="J308" i="29"/>
  <c r="J461" i="29"/>
  <c r="J321" i="29"/>
  <c r="J647" i="29"/>
  <c r="J475" i="29"/>
  <c r="J351" i="29"/>
  <c r="J710" i="29"/>
  <c r="J290" i="29"/>
  <c r="J188" i="29"/>
  <c r="J36" i="29"/>
  <c r="J653" i="29"/>
  <c r="J177" i="29"/>
  <c r="J695" i="29"/>
  <c r="J331" i="29"/>
  <c r="J348" i="29"/>
  <c r="J215" i="29"/>
  <c r="J51" i="29"/>
  <c r="J503" i="29"/>
  <c r="J688" i="29"/>
  <c r="J340" i="29"/>
  <c r="J169" i="29"/>
  <c r="J221" i="29"/>
  <c r="J40" i="29"/>
  <c r="J443" i="29"/>
  <c r="J614" i="29"/>
  <c r="J337" i="29"/>
  <c r="J543" i="29"/>
  <c r="J286" i="29"/>
  <c r="J129" i="29"/>
  <c r="J640" i="29"/>
  <c r="J243" i="29"/>
  <c r="J553" i="29"/>
  <c r="J436" i="29"/>
  <c r="J78" i="29"/>
  <c r="J488" i="29"/>
  <c r="J512" i="29"/>
  <c r="J533" i="29"/>
  <c r="J184" i="29"/>
  <c r="J185" i="29" s="1"/>
  <c r="J179" i="29"/>
  <c r="J148" i="29"/>
  <c r="J587" i="29"/>
  <c r="J678" i="29"/>
  <c r="J420" i="29"/>
  <c r="J151" i="29"/>
  <c r="J149" i="29"/>
  <c r="J601" i="29"/>
  <c r="J137" i="29"/>
  <c r="J504" i="29"/>
  <c r="J534" i="29"/>
  <c r="J226" i="29"/>
  <c r="J240" i="29"/>
  <c r="J158" i="29"/>
  <c r="J579" i="29"/>
  <c r="J418" i="29"/>
  <c r="J260" i="29"/>
  <c r="J627" i="29"/>
  <c r="J607" i="29"/>
  <c r="J603" i="29"/>
  <c r="J20" i="29"/>
  <c r="J466" i="29"/>
  <c r="J522" i="29"/>
  <c r="J507" i="29"/>
  <c r="J613" i="29"/>
  <c r="J521" i="29"/>
  <c r="J598" i="29"/>
  <c r="J612" i="29"/>
  <c r="J349" i="29"/>
  <c r="J393" i="29"/>
  <c r="J498" i="29"/>
  <c r="J717" i="29"/>
  <c r="J23" i="29"/>
  <c r="J394" i="29"/>
  <c r="J219" i="29"/>
  <c r="J156" i="29"/>
  <c r="J126" i="29"/>
  <c r="J666" i="29"/>
  <c r="J127" i="29"/>
  <c r="J550" i="29"/>
  <c r="J459" i="29"/>
  <c r="J665" i="29"/>
  <c r="J317" i="29"/>
  <c r="J59" i="29"/>
  <c r="J374" i="29"/>
  <c r="J458" i="29"/>
  <c r="J204" i="29"/>
  <c r="J318" i="29"/>
  <c r="K14" i="3"/>
  <c r="K15" i="3" s="1"/>
  <c r="K16" i="3" s="1"/>
  <c r="K17" i="3" s="1"/>
  <c r="K18" i="3" s="1"/>
  <c r="G64" i="29"/>
  <c r="J62" i="29"/>
  <c r="I32" i="3"/>
  <c r="I44" i="3"/>
  <c r="I31" i="3"/>
  <c r="J47" i="29" l="1"/>
  <c r="J29" i="29"/>
  <c r="R20" i="29" s="1"/>
  <c r="D14" i="13" s="1"/>
  <c r="D56" i="13" s="1"/>
  <c r="J704" i="29"/>
  <c r="J408" i="29"/>
  <c r="J64" i="29"/>
  <c r="J65" i="29" s="1"/>
  <c r="J152" i="29"/>
  <c r="J604" i="29"/>
  <c r="J455" i="29"/>
  <c r="J574" i="29"/>
  <c r="J364" i="29"/>
  <c r="J222" i="29"/>
  <c r="J103" i="29"/>
  <c r="J590" i="29"/>
  <c r="J635" i="29"/>
  <c r="J396" i="29"/>
  <c r="J24" i="29"/>
  <c r="R19" i="29" s="1"/>
  <c r="D13" i="13" s="1"/>
  <c r="J554" i="29"/>
  <c r="J641" i="29"/>
  <c r="J341" i="29"/>
  <c r="J270" i="29"/>
  <c r="J275" i="29"/>
  <c r="J654" i="29"/>
  <c r="R26" i="29" s="1"/>
  <c r="D20" i="13" s="1"/>
  <c r="D62" i="13" s="1"/>
  <c r="J359" i="29"/>
  <c r="J52" i="29"/>
  <c r="J181" i="29"/>
  <c r="J662" i="29"/>
  <c r="J353" i="29"/>
  <c r="J545" i="29"/>
  <c r="J123" i="29"/>
  <c r="J649" i="29"/>
  <c r="J424" i="29"/>
  <c r="J173" i="29"/>
  <c r="J287" i="29"/>
  <c r="J529" i="29"/>
  <c r="J581" i="29"/>
  <c r="J439" i="29"/>
  <c r="J293" i="29"/>
  <c r="J561" i="29"/>
  <c r="J445" i="29"/>
  <c r="J467" i="29"/>
  <c r="J371" i="29"/>
  <c r="J304" i="29"/>
  <c r="J387" i="29"/>
  <c r="J523" i="29"/>
  <c r="J210" i="29"/>
  <c r="J378" i="29"/>
  <c r="J145" i="29"/>
  <c r="J623" i="29"/>
  <c r="R24" i="29" s="1"/>
  <c r="D18" i="13" s="1"/>
  <c r="D60" i="13" s="1"/>
  <c r="J309" i="29"/>
  <c r="J513" i="29"/>
  <c r="J535" i="29"/>
  <c r="J699" i="29"/>
  <c r="J718" i="29"/>
  <c r="J115" i="29"/>
  <c r="J484" i="29"/>
  <c r="J231" i="29"/>
  <c r="J134" i="29"/>
  <c r="J325" i="29"/>
  <c r="J616" i="29"/>
  <c r="J298" i="29"/>
  <c r="J37" i="29"/>
  <c r="J489" i="29"/>
  <c r="R32" i="29"/>
  <c r="D26" i="13" s="1"/>
  <c r="D68" i="13" s="1"/>
  <c r="J499" i="29"/>
  <c r="J159" i="29"/>
  <c r="J673" i="29"/>
  <c r="J95" i="29"/>
  <c r="J87" i="29"/>
  <c r="J682" i="29"/>
  <c r="J254" i="29"/>
  <c r="J193" i="29"/>
  <c r="J583" i="29" l="1"/>
  <c r="R37" i="29"/>
  <c r="D31" i="13" s="1"/>
  <c r="D73" i="13" s="1"/>
  <c r="R22" i="29"/>
  <c r="D16" i="13" s="1"/>
  <c r="D58" i="13" s="1"/>
  <c r="J31" i="29"/>
  <c r="R27" i="29"/>
  <c r="D21" i="13" s="1"/>
  <c r="D63" i="13" s="1"/>
  <c r="R35" i="29"/>
  <c r="D29" i="13" s="1"/>
  <c r="D71" i="13" s="1"/>
  <c r="R28" i="29"/>
  <c r="D22" i="13" s="1"/>
  <c r="D64" i="13" s="1"/>
  <c r="R33" i="29"/>
  <c r="D27" i="13" s="1"/>
  <c r="D69" i="13" s="1"/>
  <c r="R36" i="29"/>
  <c r="D30" i="13" s="1"/>
  <c r="R38" i="29"/>
  <c r="D32" i="13" s="1"/>
  <c r="D74" i="13" s="1"/>
  <c r="J426" i="29"/>
  <c r="R25" i="29"/>
  <c r="D19" i="13" s="1"/>
  <c r="D61" i="13" s="1"/>
  <c r="J720" i="29"/>
  <c r="R31" i="29"/>
  <c r="D25" i="13" s="1"/>
  <c r="J491" i="29"/>
  <c r="J277" i="29"/>
  <c r="R29" i="29"/>
  <c r="D23" i="13" s="1"/>
  <c r="R23" i="29"/>
  <c r="D17" i="13" s="1"/>
  <c r="D59" i="13" s="1"/>
  <c r="J563" i="29"/>
  <c r="R30" i="29"/>
  <c r="D24" i="13" s="1"/>
  <c r="D66" i="13" s="1"/>
  <c r="R21" i="29"/>
  <c r="D15" i="13" s="1"/>
  <c r="J343" i="29"/>
  <c r="R34" i="29"/>
  <c r="D28" i="13" s="1"/>
  <c r="D70" i="13" s="1"/>
  <c r="J161" i="29"/>
  <c r="J105" i="29"/>
  <c r="Q26" i="13"/>
  <c r="Q25" i="13"/>
  <c r="Q19" i="13"/>
  <c r="H50" i="13"/>
  <c r="J722" i="29" l="1"/>
  <c r="J428" i="29"/>
  <c r="R40" i="29"/>
  <c r="F35" i="13"/>
  <c r="D35" i="13"/>
  <c r="E20" i="13" s="1"/>
  <c r="Q15" i="13"/>
  <c r="J724" i="29" l="1"/>
  <c r="B50" i="13"/>
  <c r="B6" i="13"/>
  <c r="B48" i="13" s="1"/>
  <c r="H174" i="3" l="1"/>
  <c r="I174" i="3" s="1"/>
  <c r="H131" i="3"/>
  <c r="I131" i="3" s="1"/>
  <c r="I167" i="3"/>
  <c r="H120" i="3"/>
  <c r="I120" i="3" s="1"/>
  <c r="H36" i="3"/>
  <c r="I36" i="3" s="1"/>
  <c r="H62" i="3"/>
  <c r="I62" i="3" s="1"/>
  <c r="H146" i="3"/>
  <c r="I146" i="3" s="1"/>
  <c r="H82" i="3"/>
  <c r="I82" i="3" s="1"/>
  <c r="H107" i="3"/>
  <c r="I107" i="3" s="1"/>
  <c r="H88" i="3"/>
  <c r="I88" i="3" s="1"/>
  <c r="H19" i="3"/>
  <c r="I19" i="3" s="1"/>
  <c r="H22" i="3"/>
  <c r="H94" i="3"/>
  <c r="I94" i="3" s="1"/>
  <c r="K19" i="3" l="1"/>
  <c r="K20" i="3" s="1"/>
  <c r="K21" i="3" s="1"/>
  <c r="G99" i="16"/>
  <c r="G63" i="16"/>
  <c r="G100" i="16" s="1"/>
  <c r="J64" i="16"/>
  <c r="B4" i="13" l="1"/>
  <c r="B46" i="13" s="1"/>
  <c r="H65" i="3" l="1"/>
  <c r="I65" i="3" s="1"/>
  <c r="D55" i="13" l="1"/>
  <c r="H35" i="13"/>
  <c r="E13" i="13" l="1"/>
  <c r="D72" i="13"/>
  <c r="E18" i="13" l="1"/>
  <c r="E24" i="13"/>
  <c r="E26" i="13"/>
  <c r="E32" i="13"/>
  <c r="E31" i="13"/>
  <c r="E22" i="13"/>
  <c r="E29" i="13"/>
  <c r="E17" i="13"/>
  <c r="E27" i="13"/>
  <c r="E30" i="13"/>
  <c r="E19" i="13"/>
  <c r="E21" i="13"/>
  <c r="E16" i="13"/>
  <c r="E28" i="13"/>
  <c r="N77" i="13" l="1"/>
  <c r="H77" i="13"/>
  <c r="P35" i="13"/>
  <c r="L77" i="13"/>
  <c r="P77" i="13"/>
  <c r="F77" i="13"/>
  <c r="J77" i="13"/>
  <c r="N35" i="13"/>
  <c r="G35" i="13"/>
  <c r="J35" i="13"/>
  <c r="L35" i="13"/>
  <c r="E14" i="13" l="1"/>
  <c r="H6" i="13"/>
  <c r="H48" i="13" s="1"/>
  <c r="I35" i="13"/>
  <c r="K35" i="13" s="1"/>
  <c r="M35" i="13" s="1"/>
  <c r="O35" i="13" s="1"/>
  <c r="Q35" i="13" s="1"/>
  <c r="G77" i="13" s="1"/>
  <c r="I77" i="13" s="1"/>
  <c r="K77" i="13" s="1"/>
  <c r="M77" i="13" s="1"/>
  <c r="O77" i="13" s="1"/>
  <c r="Q77" i="13" s="1"/>
  <c r="P76" i="13" l="1"/>
  <c r="F76" i="13"/>
  <c r="L76" i="13"/>
  <c r="H76" i="13"/>
  <c r="N76" i="13"/>
  <c r="J76" i="13"/>
  <c r="D67" i="13" l="1"/>
  <c r="E25" i="13"/>
  <c r="I87" i="3" l="1"/>
  <c r="D57" i="13" l="1"/>
  <c r="E15" i="13"/>
  <c r="I51" i="3"/>
  <c r="I47" i="3"/>
  <c r="I159" i="3" l="1"/>
  <c r="I24" i="3" l="1"/>
  <c r="I67" i="3"/>
  <c r="I37" i="3" l="1"/>
  <c r="I22" i="3" l="1"/>
  <c r="I190" i="3" l="1"/>
  <c r="K22" i="3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87" i="3" s="1"/>
  <c r="K188" i="3" s="1"/>
  <c r="J63" i="3"/>
  <c r="D65" i="13"/>
  <c r="E23" i="13"/>
  <c r="E34" i="13" s="1"/>
  <c r="P34" i="13" l="1"/>
  <c r="F34" i="13"/>
  <c r="G34" i="13" s="1"/>
  <c r="J34" i="13"/>
  <c r="H34" i="13"/>
  <c r="N34" i="13"/>
  <c r="L34" i="13"/>
  <c r="D77" i="13"/>
  <c r="E65" i="13" s="1"/>
  <c r="J36" i="3"/>
  <c r="J138" i="3"/>
  <c r="J67" i="3"/>
  <c r="J107" i="3"/>
  <c r="J147" i="3"/>
  <c r="J179" i="3"/>
  <c r="J16" i="3"/>
  <c r="J22" i="3"/>
  <c r="J31" i="3"/>
  <c r="J37" i="3"/>
  <c r="J75" i="3"/>
  <c r="J99" i="3"/>
  <c r="J131" i="3"/>
  <c r="J17" i="3"/>
  <c r="J23" i="3"/>
  <c r="J32" i="3"/>
  <c r="J38" i="3"/>
  <c r="J45" i="3"/>
  <c r="J53" i="3"/>
  <c r="J61" i="3"/>
  <c r="J68" i="3"/>
  <c r="J76" i="3"/>
  <c r="J84" i="3"/>
  <c r="J92" i="3"/>
  <c r="J100" i="3"/>
  <c r="J108" i="3"/>
  <c r="J116" i="3"/>
  <c r="J124" i="3"/>
  <c r="J132" i="3"/>
  <c r="J140" i="3"/>
  <c r="J148" i="3"/>
  <c r="J156" i="3"/>
  <c r="J164" i="3"/>
  <c r="J172" i="3"/>
  <c r="J180" i="3"/>
  <c r="J188" i="3"/>
  <c r="J81" i="3"/>
  <c r="J113" i="3"/>
  <c r="J145" i="3"/>
  <c r="J169" i="3"/>
  <c r="J15" i="3"/>
  <c r="J51" i="3"/>
  <c r="J82" i="3"/>
  <c r="J106" i="3"/>
  <c r="J130" i="3"/>
  <c r="J162" i="3"/>
  <c r="J44" i="3"/>
  <c r="J115" i="3"/>
  <c r="J155" i="3"/>
  <c r="J187" i="3"/>
  <c r="J18" i="3"/>
  <c r="J24" i="3"/>
  <c r="J33" i="3"/>
  <c r="J39" i="3"/>
  <c r="J46" i="3"/>
  <c r="J54" i="3"/>
  <c r="J62" i="3"/>
  <c r="J69" i="3"/>
  <c r="J77" i="3"/>
  <c r="J85" i="3"/>
  <c r="J93" i="3"/>
  <c r="J101" i="3"/>
  <c r="J109" i="3"/>
  <c r="J117" i="3"/>
  <c r="J125" i="3"/>
  <c r="J133" i="3"/>
  <c r="J141" i="3"/>
  <c r="J149" i="3"/>
  <c r="J157" i="3"/>
  <c r="J165" i="3"/>
  <c r="J173" i="3"/>
  <c r="J181" i="3"/>
  <c r="J13" i="3"/>
  <c r="L13" i="3" s="1"/>
  <c r="J19" i="3"/>
  <c r="J25" i="3"/>
  <c r="J34" i="3"/>
  <c r="J29" i="3"/>
  <c r="J47" i="3"/>
  <c r="J55" i="3"/>
  <c r="J70" i="3"/>
  <c r="J78" i="3"/>
  <c r="J86" i="3"/>
  <c r="J94" i="3"/>
  <c r="J102" i="3"/>
  <c r="J110" i="3"/>
  <c r="J118" i="3"/>
  <c r="J126" i="3"/>
  <c r="J134" i="3"/>
  <c r="J142" i="3"/>
  <c r="J150" i="3"/>
  <c r="J158" i="3"/>
  <c r="J166" i="3"/>
  <c r="J174" i="3"/>
  <c r="J182" i="3"/>
  <c r="J28" i="3"/>
  <c r="J42" i="3"/>
  <c r="J58" i="3"/>
  <c r="J73" i="3"/>
  <c r="J97" i="3"/>
  <c r="J121" i="3"/>
  <c r="J137" i="3"/>
  <c r="J161" i="3"/>
  <c r="J185" i="3"/>
  <c r="J30" i="3"/>
  <c r="J59" i="3"/>
  <c r="J74" i="3"/>
  <c r="J98" i="3"/>
  <c r="J122" i="3"/>
  <c r="J146" i="3"/>
  <c r="J178" i="3"/>
  <c r="J60" i="3"/>
  <c r="J91" i="3"/>
  <c r="J139" i="3"/>
  <c r="J163" i="3"/>
  <c r="J20" i="3"/>
  <c r="J26" i="3"/>
  <c r="J35" i="3"/>
  <c r="J40" i="3"/>
  <c r="J48" i="3"/>
  <c r="J56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27" i="3"/>
  <c r="J41" i="3"/>
  <c r="J49" i="3"/>
  <c r="J57" i="3"/>
  <c r="J64" i="3"/>
  <c r="J72" i="3"/>
  <c r="J80" i="3"/>
  <c r="J88" i="3"/>
  <c r="J96" i="3"/>
  <c r="J104" i="3"/>
  <c r="J112" i="3"/>
  <c r="J120" i="3"/>
  <c r="J128" i="3"/>
  <c r="J136" i="3"/>
  <c r="J144" i="3"/>
  <c r="J152" i="3"/>
  <c r="J160" i="3"/>
  <c r="J168" i="3"/>
  <c r="J176" i="3"/>
  <c r="J184" i="3"/>
  <c r="J14" i="3"/>
  <c r="J21" i="3"/>
  <c r="J50" i="3"/>
  <c r="J65" i="3"/>
  <c r="J89" i="3"/>
  <c r="J105" i="3"/>
  <c r="J129" i="3"/>
  <c r="J153" i="3"/>
  <c r="J177" i="3"/>
  <c r="J43" i="3"/>
  <c r="J66" i="3"/>
  <c r="J90" i="3"/>
  <c r="J114" i="3"/>
  <c r="J154" i="3"/>
  <c r="J170" i="3"/>
  <c r="J186" i="3"/>
  <c r="J52" i="3"/>
  <c r="J83" i="3"/>
  <c r="J123" i="3"/>
  <c r="J171" i="3"/>
  <c r="L14" i="3" l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I34" i="13"/>
  <c r="K34" i="13" s="1"/>
  <c r="M34" i="13" s="1"/>
  <c r="O34" i="13" s="1"/>
  <c r="Q34" i="13" s="1"/>
  <c r="G76" i="13" s="1"/>
  <c r="I76" i="13" s="1"/>
  <c r="K76" i="13" s="1"/>
  <c r="M76" i="13" s="1"/>
  <c r="O76" i="13" s="1"/>
  <c r="Q76" i="13" s="1"/>
  <c r="E64" i="13"/>
  <c r="E68" i="13"/>
  <c r="E62" i="13"/>
  <c r="E66" i="13"/>
  <c r="E67" i="13"/>
  <c r="E69" i="13"/>
  <c r="E71" i="13"/>
  <c r="E73" i="13"/>
  <c r="E70" i="13"/>
  <c r="E63" i="13"/>
  <c r="E60" i="13"/>
  <c r="E57" i="13"/>
  <c r="E74" i="13"/>
  <c r="E61" i="13"/>
  <c r="E59" i="13"/>
  <c r="E55" i="13"/>
  <c r="E72" i="13"/>
  <c r="E56" i="13"/>
  <c r="E58" i="13"/>
  <c r="M13" i="3"/>
  <c r="E76" i="13" l="1"/>
  <c r="M15" i="3"/>
  <c r="M14" i="3"/>
  <c r="M16" i="3" l="1"/>
  <c r="M17" i="3" l="1"/>
  <c r="M18" i="3" l="1"/>
  <c r="M19" i="3" l="1"/>
  <c r="M20" i="3" l="1"/>
  <c r="M21" i="3" l="1"/>
  <c r="M22" i="3" l="1"/>
  <c r="M23" i="3" l="1"/>
  <c r="M24" i="3" l="1"/>
  <c r="M25" i="3" l="1"/>
  <c r="M26" i="3" l="1"/>
  <c r="M27" i="3" l="1"/>
  <c r="M28" i="3" l="1"/>
  <c r="M29" i="3" l="1"/>
  <c r="M30" i="3" l="1"/>
  <c r="M31" i="3" l="1"/>
  <c r="M32" i="3" l="1"/>
  <c r="M33" i="3" l="1"/>
  <c r="M34" i="3" l="1"/>
  <c r="M35" i="3" l="1"/>
  <c r="M36" i="3" l="1"/>
  <c r="M37" i="3" l="1"/>
  <c r="M38" i="3" l="1"/>
  <c r="M39" i="3" l="1"/>
  <c r="M40" i="3" l="1"/>
  <c r="M41" i="3" l="1"/>
  <c r="M42" i="3" l="1"/>
  <c r="M43" i="3" l="1"/>
  <c r="M44" i="3" l="1"/>
  <c r="M45" i="3" l="1"/>
  <c r="M46" i="3" l="1"/>
  <c r="M47" i="3" l="1"/>
  <c r="M48" i="3" l="1"/>
  <c r="M49" i="3" l="1"/>
  <c r="M50" i="3" l="1"/>
  <c r="M51" i="3" l="1"/>
  <c r="M52" i="3" l="1"/>
  <c r="M53" i="3" l="1"/>
  <c r="M54" i="3" l="1"/>
  <c r="M55" i="3" l="1"/>
  <c r="M56" i="3" l="1"/>
  <c r="M57" i="3" l="1"/>
  <c r="M58" i="3" l="1"/>
  <c r="M59" i="3" l="1"/>
  <c r="M60" i="3" l="1"/>
  <c r="M61" i="3" l="1"/>
  <c r="M62" i="3" l="1"/>
  <c r="M63" i="3" l="1"/>
  <c r="M64" i="3" l="1"/>
  <c r="M65" i="3" l="1"/>
  <c r="M66" i="3" l="1"/>
  <c r="M67" i="3" l="1"/>
  <c r="M68" i="3" l="1"/>
  <c r="M69" i="3" l="1"/>
  <c r="M70" i="3" l="1"/>
  <c r="M71" i="3" l="1"/>
  <c r="M72" i="3" l="1"/>
  <c r="M73" i="3" l="1"/>
  <c r="M74" i="3" l="1"/>
  <c r="M75" i="3" l="1"/>
  <c r="M76" i="3" l="1"/>
  <c r="M77" i="3" l="1"/>
  <c r="M78" i="3" l="1"/>
  <c r="M79" i="3" l="1"/>
  <c r="M80" i="3" l="1"/>
  <c r="M81" i="3" l="1"/>
  <c r="M82" i="3" l="1"/>
  <c r="M83" i="3" l="1"/>
  <c r="M84" i="3" l="1"/>
  <c r="M85" i="3" l="1"/>
  <c r="M86" i="3" l="1"/>
  <c r="M87" i="3" l="1"/>
  <c r="M88" i="3" l="1"/>
  <c r="M89" i="3" l="1"/>
  <c r="M90" i="3" l="1"/>
  <c r="M91" i="3" l="1"/>
  <c r="M92" i="3" l="1"/>
  <c r="M93" i="3" l="1"/>
  <c r="M94" i="3" l="1"/>
  <c r="M95" i="3" l="1"/>
  <c r="M96" i="3" l="1"/>
  <c r="M97" i="3" l="1"/>
  <c r="M98" i="3" l="1"/>
  <c r="M99" i="3" l="1"/>
  <c r="M100" i="3" l="1"/>
  <c r="M101" i="3" l="1"/>
  <c r="M102" i="3" l="1"/>
  <c r="M103" i="3" l="1"/>
  <c r="M104" i="3" l="1"/>
  <c r="M105" i="3" l="1"/>
  <c r="M106" i="3" l="1"/>
  <c r="M107" i="3" l="1"/>
  <c r="M108" i="3" l="1"/>
  <c r="M109" i="3" l="1"/>
  <c r="M110" i="3" l="1"/>
  <c r="M111" i="3" l="1"/>
  <c r="M112" i="3" l="1"/>
  <c r="M113" i="3" l="1"/>
  <c r="M114" i="3" l="1"/>
  <c r="M115" i="3" l="1"/>
  <c r="M116" i="3" l="1"/>
  <c r="M117" i="3" l="1"/>
  <c r="M118" i="3" l="1"/>
  <c r="M119" i="3" l="1"/>
  <c r="M120" i="3" l="1"/>
  <c r="M121" i="3" l="1"/>
  <c r="M122" i="3" l="1"/>
  <c r="M123" i="3" l="1"/>
  <c r="M124" i="3" l="1"/>
  <c r="M125" i="3" l="1"/>
  <c r="M126" i="3" l="1"/>
  <c r="M127" i="3" l="1"/>
  <c r="M128" i="3" l="1"/>
  <c r="M129" i="3" l="1"/>
  <c r="M130" i="3" l="1"/>
  <c r="M131" i="3" l="1"/>
  <c r="M132" i="3" l="1"/>
  <c r="M133" i="3" l="1"/>
  <c r="M134" i="3" l="1"/>
  <c r="M135" i="3" l="1"/>
  <c r="M136" i="3" l="1"/>
  <c r="M137" i="3" l="1"/>
  <c r="M138" i="3" l="1"/>
  <c r="M139" i="3" l="1"/>
  <c r="M140" i="3" l="1"/>
  <c r="M141" i="3" l="1"/>
  <c r="M142" i="3" l="1"/>
  <c r="M143" i="3" l="1"/>
  <c r="M144" i="3" l="1"/>
  <c r="M145" i="3" l="1"/>
  <c r="M146" i="3" l="1"/>
  <c r="M147" i="3" l="1"/>
  <c r="M148" i="3" l="1"/>
  <c r="M149" i="3" l="1"/>
  <c r="M150" i="3" l="1"/>
  <c r="M151" i="3" l="1"/>
  <c r="M152" i="3" l="1"/>
  <c r="M153" i="3" l="1"/>
  <c r="M154" i="3" l="1"/>
  <c r="M155" i="3" l="1"/>
  <c r="M156" i="3" l="1"/>
  <c r="M157" i="3" l="1"/>
  <c r="M158" i="3" l="1"/>
  <c r="M159" i="3" l="1"/>
  <c r="M160" i="3" l="1"/>
  <c r="M161" i="3" l="1"/>
  <c r="M162" i="3" l="1"/>
  <c r="M163" i="3" l="1"/>
  <c r="M164" i="3" l="1"/>
  <c r="M165" i="3" l="1"/>
  <c r="M166" i="3" l="1"/>
  <c r="M167" i="3" l="1"/>
  <c r="M168" i="3" l="1"/>
  <c r="M169" i="3" l="1"/>
  <c r="M170" i="3" l="1"/>
  <c r="M171" i="3" l="1"/>
  <c r="M172" i="3" l="1"/>
  <c r="M173" i="3" l="1"/>
  <c r="M174" i="3" l="1"/>
  <c r="M175" i="3" l="1"/>
  <c r="M176" i="3" l="1"/>
  <c r="M177" i="3" l="1"/>
  <c r="M178" i="3" l="1"/>
  <c r="M179" i="3" l="1"/>
  <c r="M180" i="3" l="1"/>
  <c r="M181" i="3" l="1"/>
  <c r="M182" i="3" l="1"/>
  <c r="M183" i="3" l="1"/>
  <c r="M184" i="3" l="1"/>
  <c r="M185" i="3" l="1"/>
  <c r="M186" i="3" l="1"/>
  <c r="M188" i="3" l="1"/>
  <c r="M187" i="3"/>
</calcChain>
</file>

<file path=xl/sharedStrings.xml><?xml version="1.0" encoding="utf-8"?>
<sst xmlns="http://schemas.openxmlformats.org/spreadsheetml/2006/main" count="3481" uniqueCount="1203">
  <si>
    <t>1.1</t>
  </si>
  <si>
    <t>2.1</t>
  </si>
  <si>
    <t>ITEM</t>
  </si>
  <si>
    <t>CÓDIGO</t>
  </si>
  <si>
    <t>DESCRIÇÃO DOS SERVIÇOS</t>
  </si>
  <si>
    <t>VALOR (R$)</t>
  </si>
  <si>
    <t>BDI</t>
  </si>
  <si>
    <t>PLANILHA ORÇAMENTÁRIA</t>
  </si>
  <si>
    <t>REFERÊNCIA</t>
  </si>
  <si>
    <t>UND.</t>
  </si>
  <si>
    <t>QUANTID.</t>
  </si>
  <si>
    <t>PREÇO UNIT. (R$) SEM BDI</t>
  </si>
  <si>
    <t>PREÇO UNIT. (R$) COM BDI</t>
  </si>
  <si>
    <t>ISS</t>
  </si>
  <si>
    <t>CÁLCULO DO BDI</t>
  </si>
  <si>
    <t>R</t>
  </si>
  <si>
    <t>Lucro</t>
  </si>
  <si>
    <t>COMPOSIÇÃO DO BDI</t>
  </si>
  <si>
    <t>SIGLA</t>
  </si>
  <si>
    <t>PORCENTAGEM</t>
  </si>
  <si>
    <t>AC</t>
  </si>
  <si>
    <t>Administração Central</t>
  </si>
  <si>
    <t>DF</t>
  </si>
  <si>
    <t>Despesas Financeiras</t>
  </si>
  <si>
    <t>FÓRMULA DO BDI</t>
  </si>
  <si>
    <t>L</t>
  </si>
  <si>
    <t>Total do BDI</t>
  </si>
  <si>
    <t>ORÇAMENTO ANALÍTICO</t>
  </si>
  <si>
    <t>VALOR TOTAL (R$)</t>
  </si>
  <si>
    <t xml:space="preserve">CUSTO TOTAL COM BDI INCLUSO </t>
  </si>
  <si>
    <t>PARCELA 01</t>
  </si>
  <si>
    <t>PARCELA 02</t>
  </si>
  <si>
    <t>SIMPLES (%)</t>
  </si>
  <si>
    <t>ACUMULADO (%)</t>
  </si>
  <si>
    <t>PARTICIPAÇÃO POR ETAPA (%)</t>
  </si>
  <si>
    <t xml:space="preserve">TOTAL (R$):  </t>
  </si>
  <si>
    <t xml:space="preserve">TOTAL (%):  </t>
  </si>
  <si>
    <t>CRONOGRAMA FÍSICO-FINANCEIRO</t>
  </si>
  <si>
    <t>TOTAL</t>
  </si>
  <si>
    <t>PARCELA 03</t>
  </si>
  <si>
    <t xml:space="preserve">OBRA: </t>
  </si>
  <si>
    <t>DATA BASE</t>
  </si>
  <si>
    <t>M2</t>
  </si>
  <si>
    <t>M</t>
  </si>
  <si>
    <t>M3</t>
  </si>
  <si>
    <t/>
  </si>
  <si>
    <t xml:space="preserve">DATA BASE: </t>
  </si>
  <si>
    <t>FONTE</t>
  </si>
  <si>
    <t>DESCRIÇÃO</t>
  </si>
  <si>
    <t>UNIDADE</t>
  </si>
  <si>
    <t>COEFIC.</t>
  </si>
  <si>
    <t>CUSTO UNIT.</t>
  </si>
  <si>
    <t>H</t>
  </si>
  <si>
    <t>Seguro e Garantia</t>
  </si>
  <si>
    <t>SG</t>
  </si>
  <si>
    <t>Risco</t>
  </si>
  <si>
    <t>CP</t>
  </si>
  <si>
    <t>COFINS + PIS</t>
  </si>
  <si>
    <r>
      <rPr>
        <b/>
        <sz val="8"/>
        <color theme="1"/>
        <rFont val="Arial"/>
        <family val="2"/>
      </rPr>
      <t>AC</t>
    </r>
    <r>
      <rPr>
        <sz val="8"/>
        <color theme="1"/>
        <rFont val="Arial"/>
        <family val="2"/>
      </rPr>
      <t xml:space="preserve"> | Administração Central - Percentual incluído no contrato para suprir gastos gerais que a empresa efetua com a sua administração, tais como: aluguel da sede, salários dos funcionários da sede, material de expediente, entre outros.</t>
    </r>
  </si>
  <si>
    <r>
      <rPr>
        <b/>
        <sz val="8"/>
        <color theme="1"/>
        <rFont val="Arial"/>
        <family val="2"/>
      </rPr>
      <t>DF</t>
    </r>
    <r>
      <rPr>
        <sz val="8"/>
        <color theme="1"/>
        <rFont val="Arial"/>
        <family val="2"/>
      </rPr>
      <t xml:space="preserve"> | Despesas Financeiras - Despesas financeiras são gastos relacionados à perda monetária decorrente da defasagem entre a data do efetivo desembolso e a data da receita correspondente.</t>
    </r>
  </si>
  <si>
    <r>
      <rPr>
        <b/>
        <sz val="8"/>
        <color theme="1"/>
        <rFont val="Arial"/>
        <family val="2"/>
      </rPr>
      <t>L</t>
    </r>
    <r>
      <rPr>
        <sz val="8"/>
        <color theme="1"/>
        <rFont val="Arial"/>
        <family val="2"/>
      </rPr>
      <t xml:space="preserve"> | Lucro - Percentual incluído no contrato referente ao lucro pretendido.</t>
    </r>
  </si>
  <si>
    <r>
      <rPr>
        <b/>
        <sz val="8"/>
        <color theme="1"/>
        <rFont val="Arial"/>
        <family val="2"/>
      </rPr>
      <t>CP</t>
    </r>
    <r>
      <rPr>
        <sz val="8"/>
        <color theme="1"/>
        <rFont val="Arial"/>
        <family val="2"/>
      </rPr>
      <t xml:space="preserve"> | Somatório do COFINS e PIS.</t>
    </r>
  </si>
  <si>
    <t>COMPOSIÇÃO</t>
  </si>
  <si>
    <t>COMP001</t>
  </si>
  <si>
    <t xml:space="preserve"> LOCAL:</t>
  </si>
  <si>
    <t xml:space="preserve"> PROPONENTE:</t>
  </si>
  <si>
    <t>RESPONSÁVEL TÉCNICO:</t>
  </si>
  <si>
    <t>INSTALAÇÕES ELÉTRICAS</t>
  </si>
  <si>
    <t>SER-POR-005</t>
  </si>
  <si>
    <t>FORNECIMENTO E ASSENTAMENTO DE PORTA AÇO DE ENROLAR, LÂMINA RAIADA COM LARGURA ÚTIL 100MM, CHAPA 24, ABERTURA MANUAL, COMPLETA, INCLUSIVE EIXO, MOLA, SOLEIRA, ETIQUETA, CAVALETE, GUIAS, FITAS E FECHADURAS LATERAIS - COMPLETA</t>
  </si>
  <si>
    <t>SINAPI-I</t>
  </si>
  <si>
    <t>SINAPI</t>
  </si>
  <si>
    <t>UN</t>
  </si>
  <si>
    <t>88316</t>
  </si>
  <si>
    <t>SERVENTE COM ENCARGOS COMPLEMENTARES</t>
  </si>
  <si>
    <t>PARCELA 04</t>
  </si>
  <si>
    <t>PARCELA 05</t>
  </si>
  <si>
    <t>PARCELA 07</t>
  </si>
  <si>
    <t>PARCELA 08</t>
  </si>
  <si>
    <t>Contribuição Previdenciária</t>
  </si>
  <si>
    <t>COMP002</t>
  </si>
  <si>
    <t>ENGENHEIRO CIVIL</t>
  </si>
  <si>
    <t>LAVATÓRIO</t>
  </si>
  <si>
    <t>VASO SANITÁRIO</t>
  </si>
  <si>
    <t>COMP003</t>
  </si>
  <si>
    <t xml:space="preserve">UN    </t>
  </si>
  <si>
    <t>FORNECIMENTO E INSTALAÇÃO DE PLACA DE OBRA COM CHAPA GALVANIZADA E ESTRUTURA DE MADEIRA. AF_03/2022_PS</t>
  </si>
  <si>
    <t>ARTHUR BORGES PRÉVE</t>
  </si>
  <si>
    <t>KG</t>
  </si>
  <si>
    <t>DEMOLIÇÕES E RETIRADAS</t>
  </si>
  <si>
    <t>SUBTOTAL ITEM 1</t>
  </si>
  <si>
    <t>PINTURA LÁTEX ACRÍLICA PREMIUM, APLICAÇÃO MANUAL EM TETO, DUAS DEMÃOS. AF_04/2023</t>
  </si>
  <si>
    <r>
      <rPr>
        <b/>
        <sz val="8"/>
        <color theme="1"/>
        <rFont val="Arial"/>
        <family val="2"/>
      </rPr>
      <t>SG</t>
    </r>
    <r>
      <rPr>
        <sz val="8"/>
        <color theme="1"/>
        <rFont val="Arial"/>
        <family val="2"/>
      </rPr>
      <t xml:space="preserve"> | Seguro e Garantia.</t>
    </r>
  </si>
  <si>
    <r>
      <rPr>
        <b/>
        <sz val="8"/>
        <color theme="1"/>
        <rFont val="Arial"/>
        <family val="2"/>
      </rPr>
      <t>R</t>
    </r>
    <r>
      <rPr>
        <sz val="8"/>
        <color theme="1"/>
        <rFont val="Arial"/>
        <family val="2"/>
      </rPr>
      <t xml:space="preserve"> | Risco.</t>
    </r>
  </si>
  <si>
    <t>CPRB</t>
  </si>
  <si>
    <r>
      <rPr>
        <b/>
        <sz val="8"/>
        <color theme="1"/>
        <rFont val="Arial"/>
        <family val="2"/>
      </rPr>
      <t>ISS</t>
    </r>
    <r>
      <rPr>
        <sz val="8"/>
        <color theme="1"/>
        <rFont val="Arial"/>
        <family val="2"/>
      </rPr>
      <t xml:space="preserve"> | Imposto Sobre Serviços, aplicado a Base de Cálculo.</t>
    </r>
  </si>
  <si>
    <r>
      <rPr>
        <b/>
        <sz val="8"/>
        <color theme="1"/>
        <rFont val="Arial"/>
        <family val="2"/>
      </rPr>
      <t>CPRB</t>
    </r>
    <r>
      <rPr>
        <sz val="8"/>
        <color theme="1"/>
        <rFont val="Arial"/>
        <family val="2"/>
      </rPr>
      <t xml:space="preserve"> | Contribuição Previdenciária sobre a Receita Bruta. Aplicado quando opta-se pelo Regime de Desoneração da Folha de Pagamento.</t>
    </r>
  </si>
  <si>
    <t>CREA MG 211.840/D</t>
  </si>
  <si>
    <t>PINTURA LÁTEX ACRÍLICA PREMIUM, APLICAÇÃO MANUAL EM PAREDES, DUAS DEMÃOS. AF_04/2023</t>
  </si>
  <si>
    <t>2.2</t>
  </si>
  <si>
    <t>INTERRUPTOR SIMPLES (1 MÓDULO), 10A/250V, INCLUINDO SUPORTE E PLACA - FORNECIMENTO E INSTALAÇÃO. AF_03/2023</t>
  </si>
  <si>
    <t>TOMADA MÉDIA DE EMBUTIR (2 MÓDULOS), 2P+T 10 A, INCLUINDO SUPORTE E PLACA - FORNECIMENTO E INSTALAÇÃO. AF_03/2023</t>
  </si>
  <si>
    <t>ARTHUR BORGES PRÉVE - ENG. CIVIL - CREA MG 211.840/D</t>
  </si>
  <si>
    <t>PARCELA 06</t>
  </si>
  <si>
    <t>PARCELA 09</t>
  </si>
  <si>
    <t>PARCELA 10</t>
  </si>
  <si>
    <t>PARCELA 11</t>
  </si>
  <si>
    <t>PARCELA 12</t>
  </si>
  <si>
    <t>REMOÇÃO DE PORTAS, DE FORMA MANUAL, SEM REAPROVEITAMENTO. AF_09/2023</t>
  </si>
  <si>
    <t>FORROS</t>
  </si>
  <si>
    <t>PINTURA INTERNA</t>
  </si>
  <si>
    <t>EMASSAMENTO COM MASSA LÁTEX, APLICAÇÃO EM PAREDE, DUAS DEMÃOS, LIXAMENTO MANUAL. AF_04/2023</t>
  </si>
  <si>
    <t>EMASSAMENTO COM MASSA LÁTEX, APLICAÇÃO EM TETO, DUAS DEMÃOS, LIXAMENTO MANUAL. AF_04/2023</t>
  </si>
  <si>
    <t>LOUÇAS E METAIS</t>
  </si>
  <si>
    <t>LARGURA</t>
  </si>
  <si>
    <t>ALTURA</t>
  </si>
  <si>
    <t>88309</t>
  </si>
  <si>
    <t>PEDREIRO COM ENCARGOS COMPLEMENTARES</t>
  </si>
  <si>
    <t>COMP004</t>
  </si>
  <si>
    <t>ÁREA</t>
  </si>
  <si>
    <t>1.2</t>
  </si>
  <si>
    <t>ESQUADRIAS E FERRAGENS</t>
  </si>
  <si>
    <t>SUBTOTAL ITEM 2</t>
  </si>
  <si>
    <t>PISOS</t>
  </si>
  <si>
    <t>91936</t>
  </si>
  <si>
    <t xml:space="preserve">DISPOSITIVO DPS CLASSE II, 1 POLO, TENSAO MAXIMA DE 175 V, CORRENTE MAXIMA DE *20*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</si>
  <si>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COMP005</t>
  </si>
  <si>
    <t>COMP006</t>
  </si>
  <si>
    <t>COMP007</t>
  </si>
  <si>
    <t>PLANILHA DE CÁLCULO</t>
  </si>
  <si>
    <t>PISO</t>
  </si>
  <si>
    <t>RODAPÉ</t>
  </si>
  <si>
    <t>FORRO</t>
  </si>
  <si>
    <t>AMBIENTE</t>
  </si>
  <si>
    <t>COMPR.</t>
  </si>
  <si>
    <t>PERÍMETRO</t>
  </si>
  <si>
    <t>CONTRAPISO</t>
  </si>
  <si>
    <t>REVESTIMENTO CERÂMICO</t>
  </si>
  <si>
    <t>FORRO GESSO</t>
  </si>
  <si>
    <t>TABICA</t>
  </si>
  <si>
    <t>EMASSAM. FORRO GESSO</t>
  </si>
  <si>
    <t>PINTURA ACRÍLICA</t>
  </si>
  <si>
    <t>EMASSAM.</t>
  </si>
  <si>
    <t>TOTAL GERAL</t>
  </si>
  <si>
    <t>SALA DE ARQUIVO</t>
  </si>
  <si>
    <t>ALMOXARIFADO</t>
  </si>
  <si>
    <t>PORTAS E JANELAS</t>
  </si>
  <si>
    <t>BANCADA</t>
  </si>
  <si>
    <t>TANQUE</t>
  </si>
  <si>
    <t>m2</t>
  </si>
  <si>
    <t>COMP008</t>
  </si>
  <si>
    <t>SIFÃO DO TIPO FLEXÍVEL EM PVC 1  X 1.1/2  - FORNECIMENTO E INSTALAÇÃO. AF_01/2020</t>
  </si>
  <si>
    <t>COMP009</t>
  </si>
  <si>
    <t>4823</t>
  </si>
  <si>
    <t>88274</t>
  </si>
  <si>
    <t>MARMORISTA/GRANITEIRO COM ENCARGOS COMPLEMENTARES</t>
  </si>
  <si>
    <t>86878</t>
  </si>
  <si>
    <t>TANQUE INOX</t>
  </si>
  <si>
    <t>CUBA INOX</t>
  </si>
  <si>
    <t>INTERRUPTOR SIMPLES (1 MÓDULO) COM 1 TOMADA DE EMBUTIR 2P+T 10 A, INCLUINDO SUPORTE E PLACA - FORNECIMENTO E INSTALAÇÃO. AF_03/2023</t>
  </si>
  <si>
    <t>COMP010</t>
  </si>
  <si>
    <t>COTAÇÃO</t>
  </si>
  <si>
    <t>REFORMA DA CÂMARA MUNICIPAL DE INDAIATUBA</t>
  </si>
  <si>
    <t>ISS = 3,00 %</t>
  </si>
  <si>
    <t>CÂMARA MUNICIPAL DE INDAIATUBA - SP</t>
  </si>
  <si>
    <t>CANTEIRO DE OBRAS</t>
  </si>
  <si>
    <t xml:space="preserve"> TIPO DE OBRA: REFORMA</t>
  </si>
  <si>
    <t>1.3</t>
  </si>
  <si>
    <t>SERVIÇOS GERAIS</t>
  </si>
  <si>
    <t>02.05.35</t>
  </si>
  <si>
    <t>CDHU</t>
  </si>
  <si>
    <t>02.40.78</t>
  </si>
  <si>
    <t>TELA DE AÇO SOLDADA NERVURADA - 4.2 MM ESPAÇAMENTO 15 X 15 CM</t>
  </si>
  <si>
    <t>03.45.83</t>
  </si>
  <si>
    <t>REGULARIZAÇÃO E REATERRO DO PISO COM COMPACTADOR DE SOLOS DE PERCUSSÃO</t>
  </si>
  <si>
    <t>VARIÁVEL</t>
  </si>
  <si>
    <t>PVC</t>
  </si>
  <si>
    <t>CONTRAPISO EM CONCRETO USINADO FCK = 20,0 MPA - ESPESSURA 5 CM</t>
  </si>
  <si>
    <t>1.4</t>
  </si>
  <si>
    <t>Rodapé de Poliestireno - 15 cm de altura</t>
  </si>
  <si>
    <t>-</t>
  </si>
  <si>
    <t>4791</t>
  </si>
  <si>
    <t>ADESIVO ACRILICO DE BASE AQUOSA / COLA DE CONTATO</t>
  </si>
  <si>
    <t>Rodapé em poliestireno de sobrepor, altura de 15 cm</t>
  </si>
  <si>
    <t>CERÂMICO / PORCELAN.</t>
  </si>
  <si>
    <t>PAREDE</t>
  </si>
  <si>
    <t>PINTURA LATEX</t>
  </si>
  <si>
    <t>REGULARIZAÇÃO DE PISO - 5CM ESPESSURA</t>
  </si>
  <si>
    <t>PORCELANATO / CERÂMICA</t>
  </si>
  <si>
    <t>02.76.44</t>
  </si>
  <si>
    <t>Porta de abrir em alumínio com pintura eletrostática, sob medida, instalada - sem vidro</t>
  </si>
  <si>
    <t>MÊS</t>
  </si>
  <si>
    <t xml:space="preserve">LOCACAO DE CONTAINER 2,30 X 6,00 M, ALT. 2,50 M, COM 1 SANITARIO, PARA ESCRITORIO, COMPLETO, SEM DIVISORIAS INTERNAS </t>
  </si>
  <si>
    <t>1 - SALA DE ARQUIVO</t>
  </si>
  <si>
    <t>1.5</t>
  </si>
  <si>
    <t>1.6</t>
  </si>
  <si>
    <t>SUBTOTAL ITEM 1.6</t>
  </si>
  <si>
    <t>SUBTOTAL ITEM 1.5</t>
  </si>
  <si>
    <t>SUBTOTAL ITEM 1.4</t>
  </si>
  <si>
    <t>SUBTOTAL ITEM 1.3</t>
  </si>
  <si>
    <t>SUBTOTAL ITEM 1.2</t>
  </si>
  <si>
    <t>SUBTOTAL ITEM 1.1</t>
  </si>
  <si>
    <t>TOTAL - SERVIÇOS GERAIS</t>
  </si>
  <si>
    <t>1.2.1</t>
  </si>
  <si>
    <t>1.2.2</t>
  </si>
  <si>
    <t>1.2.3</t>
  </si>
  <si>
    <t>1.2.4</t>
  </si>
  <si>
    <t>1.2.5</t>
  </si>
  <si>
    <t>1.2.6</t>
  </si>
  <si>
    <t>1.2.7</t>
  </si>
  <si>
    <t>1.3.1</t>
  </si>
  <si>
    <t>1.4.1</t>
  </si>
  <si>
    <t>1.5.1</t>
  </si>
  <si>
    <t>1.5.2</t>
  </si>
  <si>
    <t>1.5.3</t>
  </si>
  <si>
    <t>1.5.4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</si>
  <si>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</si>
  <si>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</si>
  <si>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</si>
  <si>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</si>
  <si>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</si>
  <si>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</si>
  <si>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</si>
  <si>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</si>
  <si>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</si>
  <si>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</si>
  <si>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</si>
  <si>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</si>
  <si>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</si>
  <si>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</si>
  <si>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</si>
  <si>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1.6.16</t>
  </si>
  <si>
    <t>1.6.17</t>
  </si>
  <si>
    <t>1.6.18</t>
  </si>
  <si>
    <t>1.6.19</t>
  </si>
  <si>
    <t>TOTAL ITEM 1 - SALA DE ARQUIVO</t>
  </si>
  <si>
    <t>ENCARREGADO GERAL COM ENCARGOS COMPLEMENTARES (160,00 horas por mês)</t>
  </si>
  <si>
    <t>ENGENHEIRO CIVIL DE OBRA PLENO COM ENCARGOS COMPLEMENTARES (48,00 horas por mês)</t>
  </si>
  <si>
    <t>ADMINISTRAÇÃO DE OBRA</t>
  </si>
  <si>
    <t>DEMOLIÇÃO DE PISO DE CONCRETO SIMPLES, DE FORMA MECANIZADA COM MARTELETE, SEM REAPROVEITAMENTO, INCLUSIVE SOLEIRA DE PORTA</t>
  </si>
  <si>
    <t>03.40.21</t>
  </si>
  <si>
    <t>FORRO EM CHAPA DE GESSO ACARTONADA, ESP. 12,5MM, COM FIXAÇÃO DO TIPO ESTRUTURADA EM PERFIL METÁLICO, SANCA E MOLDURA, INCLUSIVE ACESSÓRIOS E FIXAÇÃO PERFIL TABICA GALVANIZADO, TIPO LISA, COM ACABAMENTO EM PINTURA, NA COR BRANCA, PARA FORRO EM CHAPA DE GESSO ACARTONADO, INCLUSIVE ACESSÓRIOS DE FIXAÇÃO</t>
  </si>
  <si>
    <t>INSTALAÇÕES DE COMBATE A INCÊNDIO E PÂNICO</t>
  </si>
  <si>
    <t>1.7</t>
  </si>
  <si>
    <t>1.7.1</t>
  </si>
  <si>
    <t>1.7.2</t>
  </si>
  <si>
    <t>1.7.3</t>
  </si>
  <si>
    <t>1.7.4</t>
  </si>
  <si>
    <t>SUBTOTAL ITEM 1.7</t>
  </si>
  <si>
    <t>Extintor manual de pó químico classes ABC, capacidade de 4 kg</t>
  </si>
  <si>
    <t>06.70.71</t>
  </si>
  <si>
    <t>UND</t>
  </si>
  <si>
    <t>Luminária de emergência LED sobrepor, teto ou parede (frontral/ lateral), dupla face, autonomia mínima 2 horas, 30/35 lúmens, bivolt 110/220V, bateria recarregável</t>
  </si>
  <si>
    <t>1.7.5</t>
  </si>
  <si>
    <t>PLACA DE SINALIZACAO DE SEGURANCA CONTRA INCENDIO, FOTOLUMINESCENTE QUADRADA, *20 X 20* CM, EM PVC *2* MM ANTI-CHAMAS (PLACA E5)</t>
  </si>
  <si>
    <t>PLACA DE SINALIZACAO DE SEGURANCA CONTRA INCENDIO - ALERTA,CIRCULAR DE 30 CM, EM PVC *2* MM ANTI-CHAMAS (PLACA P1)</t>
  </si>
  <si>
    <t>PLACA DE SINALIZACAO DE SEGURANCA CONTRA INCENDIO, FOTOLUMINESCENTE RETANGULAR, *13 X 26* CM, EM PVC *2* MM ANTI-CHAMAS (PLACA S2)</t>
  </si>
  <si>
    <t>INSTALAÇÕES AR CONDICIONADO / EXAUSTÃO</t>
  </si>
  <si>
    <t>1.8</t>
  </si>
  <si>
    <t>1.8.1</t>
  </si>
  <si>
    <t>1.8.2</t>
  </si>
  <si>
    <t>1.8.3</t>
  </si>
  <si>
    <t>1.8.4</t>
  </si>
  <si>
    <t>1.8.5</t>
  </si>
  <si>
    <t>SUBTOTAL ITEM 1.8</t>
  </si>
  <si>
    <t>03.14.29</t>
  </si>
  <si>
    <t>Grelha de retorno/exaustão com registro, modelo AR-AG; tamanho: 0,03 m² a 0,06 m²</t>
  </si>
  <si>
    <t>m²</t>
  </si>
  <si>
    <t>Exaustor elétrico, estrutura em plástico, potência 130 a 300 W, vazão nominal livre 900 a 4.000 m³/h</t>
  </si>
  <si>
    <t>04.75.38</t>
  </si>
  <si>
    <t>03.14.02</t>
  </si>
  <si>
    <t>CPOS</t>
  </si>
  <si>
    <t>Duto flexível em alumínio, seção circular, isolado termicamente com lã de vidro de 25 mm; ref. Isodec RT 20 cm (8")</t>
  </si>
  <si>
    <t>CAIXA OCTOGONAL 4" X 4", PVC, FIXADA NA ESTRUTURA DO ELETRODUTO - FORNECIMENTO E INSTALAÇÃO. AF_03/2023</t>
  </si>
  <si>
    <t>QUADRO DE DISTRIBUIÇÃO DE ENERGIA EM CHAPA DE AÇO GALVANIZADO, DE EMBUTIR, COM BARRAMENTO TRIFÁSICO, PARA 18 DISJUNTORES DIN 100A - FORNECIMENTO E INSTALAÇÃO. AF_10/2020</t>
  </si>
  <si>
    <t>DISJUNTOR BIPOLAR TIPO DIN, CORRENTE NOMINAL DE 25A - FORNECIMENTO E INSTALAÇÃO. AF_10/2020 (AR CONDICIONADO CASSETE)</t>
  </si>
  <si>
    <t>DISJUNTOR BIPOLAR TIPO DIN, CORRENTE NOMINAL DE 50A - FORNECIMENTO E INSTALAÇÃO. AF_10/2020 (QUADRO GERAL)</t>
  </si>
  <si>
    <t>DISJUNTOR BIPOLAR TIPO DIN, CORRENTE NOMINAL DE 20A - FORNECIMENTO E INSTALAÇÃO. AF_10/2020 (TOMADAS E ILUMINAÇÃO)</t>
  </si>
  <si>
    <t>DISPOSITIVO DR, 3 FIOS, SENSIBILIDADE DE 30 MA, CORRENTE DE 50 A, TIPO AC</t>
  </si>
  <si>
    <t>Eletroduto com costura galvanizado eletroliticamente, DN = 1´ - NBR13057</t>
  </si>
  <si>
    <t>04.21.72</t>
  </si>
  <si>
    <t xml:space="preserve">Luminária tipo Spot  Led 5W Preto Fosco Luz Amarela 3000K </t>
  </si>
  <si>
    <t>Pendentes Berlim Preto Com Cobre Aluminio - Lampada de 30 W LED Bivolt</t>
  </si>
  <si>
    <t>09.12.43</t>
  </si>
  <si>
    <t>06.70.04</t>
  </si>
  <si>
    <t>CABO DE COBRE FLEXÍVEL ISOLADO, 1,5 MM², ANTI-CHAMA 0,6/1,0 KV, PARA CIRCUITOS TERMINAIS - FORNECIMENTO E INSTALAÇÃO. AF_03/2023 (CABO TIPO AFUMEX)</t>
  </si>
  <si>
    <t>CABO DE COBRE FLEXÍVEL ISOLADO, 2,5 MM², ANTI-CHAMA 0,6/1,0 KV, PARA CIRCUITOS TERMINAIS - FORNECIMENTO E INSTALAÇÃO. AF_03/2023 (CABO TIPO AFUMEX)</t>
  </si>
  <si>
    <t>CABO DE COBRE FLEXÍVEL ISOLADO, 4 MM², ANTI-CHAMA 0,6/1,0 KV, PARA CIRCUITOS TERMINAIS - FORNECIMENTO E INSTALAÇÃO. AF_03/2023 (CABO TIPO AFUMEX)</t>
  </si>
  <si>
    <t>CONDULETE DE ALUMÍNIO, PARA ELETRODUTO DE AÇO GALVANIZADO DN 25 MM (1''), APARENTE - FORNECIMENTO E INSTALAÇÃO. AF_10/2022 - MÉDIA (1,30 M DO PISO) - PONTOS PARA TOMADAS E INTERRUPTORES</t>
  </si>
  <si>
    <t>CONDULETE DE ALUMÍNIO, PARA ELETRODUTO DE AÇO GALVANIZADO DN 25 MM (1''), APARENTE - FORNECIMENTO E INSTALAÇÃO. AF_10/2022 - CAIXA PARA PASSAGEM E MUDANÇA DE DIREÇÃO DOS ELETRODUTOS</t>
  </si>
  <si>
    <t>TOTAL ITEM 2</t>
  </si>
  <si>
    <t>TOTAL ITEM 3</t>
  </si>
  <si>
    <t>TOTAL ITEM 4</t>
  </si>
  <si>
    <t>TOTAL ITEM 5</t>
  </si>
  <si>
    <t>2 - ALMOXARIFADO</t>
  </si>
  <si>
    <t>2.1.1</t>
  </si>
  <si>
    <t>2.1.2</t>
  </si>
  <si>
    <t>PLACA DE SINALIZACAO DE SEGURANCA CONTRA INCENDIO, FOTOLUMINESCENTE RETANGULAR, *13 X 26* CM, EM PVC *2* MM ANTI-CHAMAS (PLACA S3)</t>
  </si>
  <si>
    <t>2.2.1</t>
  </si>
  <si>
    <t>2.2.2</t>
  </si>
  <si>
    <t>2.2.3</t>
  </si>
  <si>
    <t>2.1.3</t>
  </si>
  <si>
    <t>DEMOLIÇÃO DE PISO DE CONCRETO SIMPLES, DE FORMA MECANIZADA COM MARTELETE, SEM REAPROVEITAMENTO, INCLUSIVE SOLEIRA DE PORTA (CONTRAPISO EXISTENTE)</t>
  </si>
  <si>
    <t>CONDULETE DE ALUMÍNIO, PARA ELETRODUTO DE AÇO GALVANIZADO DN 25 MM (1''), APARENTE - FORNECIMENTO E INSTALAÇÃO. AF_10/2022 - CAIXA PARA FIXAÇÃO DAS LUMINÁRIAS</t>
  </si>
  <si>
    <t>REMOÇÃO DE CABOS ELÉTRICOS, COM SEÇÃO MAIOR QUE 2,5 MM² E MENOR QUE 10 MM², DE FORMA MANUAL, SEM REAPROVEITAMENTO. AF_09/2023</t>
  </si>
  <si>
    <t>REMOÇÃO DE INTERRUPTORES/TOMADAS ELÉTRICAS, DE FORMA MANUAL, SEM REAPROVEITAMENTO. AF_09/2023</t>
  </si>
  <si>
    <t>REMOÇÃO DE LUMINÁRIAS, DE FORMA MANUAL, SEM REAPROVEITAMENTO. AF_09/2023</t>
  </si>
  <si>
    <t>2.1.4</t>
  </si>
  <si>
    <t>2.1.5</t>
  </si>
  <si>
    <t>REGULARIZAÇÃO DO PISO COM COMPACTADOR DE SOLOS DE PERCUSSÃO</t>
  </si>
  <si>
    <t>CONTRAPISO EM ARGAMASSA PRONTA, PREPARO MANUAL, APLICADO EM ÁREAS SECAS SOBRE LAJE, NÃO ADERIDO, ACABAMENTO NÃO REFORÇADO, ESPESSURA 5CM. AF_07/2021</t>
  </si>
  <si>
    <t>SUBTOTAL ITEM 2.1</t>
  </si>
  <si>
    <t>SUBTOTAL ITEM 2.2</t>
  </si>
  <si>
    <t>SUBTOTAL ITEM 2.3</t>
  </si>
  <si>
    <t>2.3</t>
  </si>
  <si>
    <t>2.4</t>
  </si>
  <si>
    <t>2.5</t>
  </si>
  <si>
    <t>2.6</t>
  </si>
  <si>
    <t>SUBTOTAL ITEM 2.6</t>
  </si>
  <si>
    <t>SUBTOTAL ITEM 2.5</t>
  </si>
  <si>
    <t>SUBTOTAL ITEM 2.4</t>
  </si>
  <si>
    <t>1.5.5</t>
  </si>
  <si>
    <t>1.5.6</t>
  </si>
  <si>
    <t>Extintor manual de água pressurizada capacidade de 10 litros</t>
  </si>
  <si>
    <t>06.70.11</t>
  </si>
  <si>
    <t>Renovador Ventokit Motor M 280 A Bivolt 12m²</t>
  </si>
  <si>
    <t>2.6.1</t>
  </si>
  <si>
    <t>2.6.2</t>
  </si>
  <si>
    <t>2.6.3</t>
  </si>
  <si>
    <t>2.6.4</t>
  </si>
  <si>
    <t>INSTALAÇÃO E MONTAGEM DO RENOVADOR DE AR</t>
  </si>
  <si>
    <t>AJUDANTE ESPECIALIZADO COM ENCARGOS COMPLEMENTARES</t>
  </si>
  <si>
    <t>MECÂNICO DE REFRIGERAÇÃO COM ENCARGOS COMPLEMENTARES</t>
  </si>
  <si>
    <t>88243</t>
  </si>
  <si>
    <t>100308</t>
  </si>
  <si>
    <t>03.41.02</t>
  </si>
  <si>
    <t>Luminária industrial pendente tipo calha aberta instalação em perfilado com gancho I-45 para 1 ou 2 lâmpadas 28/54W, ref. 681228 BC da ARM, FAN04-S228 da Lumicenter, PL 204/228 da Prolumi ou equivalente</t>
  </si>
  <si>
    <t>FUNDO PREPRADOR ACRÍLICO, APLICAÇÃO MANUAL EM PAREDE, UMA DEMÃO</t>
  </si>
  <si>
    <t>FUNDO PREPARADOR ACRÍLICO, APLICAÇÃO MANUAL EM TETO, UMA DEMÃO.</t>
  </si>
  <si>
    <t>LIXAMENTO DE TETO MANUAL PARA REMOÇÃO DE TINTA EXISTENTE</t>
  </si>
  <si>
    <t>LIXAMENTO DE PAREDE MANUAL PARA REMOÇÃO DE TINTA EXISTENTE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</si>
  <si>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</si>
  <si>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</si>
  <si>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</si>
  <si>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</si>
  <si>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</si>
  <si>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</si>
  <si>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</si>
  <si>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</si>
  <si>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0,3000000</t>
  </si>
  <si>
    <t>88310</t>
  </si>
  <si>
    <t>LIXA EM FOLHA PARA PAREDE OU MADEIRA, NUMERO 120, COR VERMELHA</t>
  </si>
  <si>
    <t>3767</t>
  </si>
  <si>
    <t>DEMOLIÇÃO DE REVESTIMENTO CERÂMICO, DE FORMA MANUAL, SEM REAPROVEITAMENTO. AF_09/2023</t>
  </si>
  <si>
    <t>DEMOLIÇÃO DE RODAPÉ CERÂMICO, DE FORMA MANUAL, SEM REAPROVEITAMENTO. AF_09/2023</t>
  </si>
  <si>
    <t>2.1.6</t>
  </si>
  <si>
    <t>Impermeabilização flexível à base polímeros acrílicos do piso (argamassa polimérica) - Aplicação de duas demãos cruzadas</t>
  </si>
  <si>
    <t>Porcelanato técnico não esmaltado tipo antiderrapante, com acabamento retificado, resistente ao escorregamento - PEI5</t>
  </si>
  <si>
    <t>RODAPÉ CERÂMICO DE 7CM DE ALTURA. AF_02/2023</t>
  </si>
  <si>
    <t>88650</t>
  </si>
  <si>
    <t>VARÁVEL</t>
  </si>
  <si>
    <t>2.2.4</t>
  </si>
  <si>
    <t>2.2.5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</si>
  <si>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</si>
  <si>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</si>
  <si>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</si>
  <si>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</si>
  <si>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</si>
  <si>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</si>
  <si>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</si>
  <si>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</si>
  <si>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2.5.1</t>
  </si>
  <si>
    <t>2.5.2</t>
  </si>
  <si>
    <t>2.5.3</t>
  </si>
  <si>
    <t>2.5.4</t>
  </si>
  <si>
    <t>EMASSAM. TETO</t>
  </si>
  <si>
    <t>3.1 - PLENARINHO</t>
  </si>
  <si>
    <t>3.1.1</t>
  </si>
  <si>
    <t>3.1.1.1</t>
  </si>
  <si>
    <t>3.2 - SALA TI</t>
  </si>
  <si>
    <t>TOTAL ITEM 3.3</t>
  </si>
  <si>
    <t>TOTAL ITEM 3.2</t>
  </si>
  <si>
    <t>TOTAL ITEM 3.1</t>
  </si>
  <si>
    <t>4 - SALA DA DIRETORIA GERAL</t>
  </si>
  <si>
    <t>3.2.1</t>
  </si>
  <si>
    <t>3.2.1.1</t>
  </si>
  <si>
    <t>DEMOLIÇÃO DE ALVENARIA DE BLOCO FURADO, DE FORMA MANUAL, SEM REAPROVEITAMENTO. AF_09/2023</t>
  </si>
  <si>
    <t>3.3.1</t>
  </si>
  <si>
    <t>3.3.1.1</t>
  </si>
  <si>
    <t>3.3.1.2</t>
  </si>
  <si>
    <t>REVESTIMENTO CERÂMICO PARA PISO COM PLACAS TIPO PORCELANATO APLICADA EM AMBIENTES DE ÁREA MAIOR QUE 10 M². AF_02/2023_PE
PORCELANATO COM ALTA RESISTÊNCIA MECÂNICA - PEI5</t>
  </si>
  <si>
    <t>PAREDES</t>
  </si>
  <si>
    <t>PAREDE COM SISTEMA EM CHAPAS DE GESSO PARA DRYWALL, USO INTERNO, COM DUAS FACES SIMPLES E ESTRUTURA METÁLICA COM GUIAS DUPLAS PARA PAREDES COM ÁREA LÍQUIDA MAIOR OU IGUAL A 6 M2, COM VÃOS. AF_07/2023_PS</t>
  </si>
  <si>
    <t>PLENARINHO</t>
  </si>
  <si>
    <t>P1 - Alumínio e vidro
1,20 X 2,10</t>
  </si>
  <si>
    <t>SALA TI</t>
  </si>
  <si>
    <t>COPA</t>
  </si>
  <si>
    <t xml:space="preserve">P2 - Alumínio e Vidro - 2 folhas
1,65 x 2,13 </t>
  </si>
  <si>
    <t xml:space="preserve">P3 - Alumínio e Vidro - 1 folha
1,00 x 2,10 </t>
  </si>
  <si>
    <t>P4 - Alumínio e Vidro - 1 folha
0,90 x 2,10 m</t>
  </si>
  <si>
    <t>Porta de abrir em alumínio 1,00 X 2,10 M - com pintura eletrostática, sob medida, instalada - sem vidro</t>
  </si>
  <si>
    <t>INSTALAÇÃO DE VIDRO LISO INCOLOR, E = 4 MM, EM ESQUADRIA DE ALUMÍNIO OU PVC, FIXADO COM BAGUETE. AF_01/2021_PS</t>
  </si>
  <si>
    <t>102162</t>
  </si>
  <si>
    <t>1.3.2</t>
  </si>
  <si>
    <t>INSTALAÇÃO DE VIDRO TEMPERADO, E = 8 MM, ENCAIXADO EM PERFIL U. AF_01/ 2021_PS (2,97 x 0,50 m)</t>
  </si>
  <si>
    <t>ACABAMENTOS</t>
  </si>
  <si>
    <t>Peitoril em granito boleado, com espessura de 2 cm e largura de 21 até 30 cm - acabamento polido</t>
  </si>
  <si>
    <t>Soleira em granito boleado, com espessura de 2 cm e largura de 21 até 30 cm - acabamento polido</t>
  </si>
  <si>
    <t>P1 - Madeira
0,90 x 2,10</t>
  </si>
  <si>
    <t>PORTA DE MADEIRA, MACIÇA (PESADA OU SUPERPESADA), 90X210CM, ESPESSURA DE 3,5CM, INCLUSO DOBRADIÇAS - FORNECIMENTO E INSTALAÇÃO. AF_12/2019</t>
  </si>
  <si>
    <t>90825</t>
  </si>
  <si>
    <t>REVESTIMENTO</t>
  </si>
  <si>
    <t>87879</t>
  </si>
  <si>
    <t>CHAPISCO APLICADO EM ALVENARIAS E ESTRUTURAS DE CONCRETO INTERNAS, COM COLHER DE PEDREIRO.  ARGAMASSA TRAÇO 1:3 COM PREPARO EM BETONEIRA 400L. AF_10/2022</t>
  </si>
  <si>
    <t>Tela galvanizada para fixação de alvenaria, malha de 15x15mm e dimensão 10,5x50cm - usar nos vãos de alvenaria que serão fechados para evitar trinca</t>
  </si>
  <si>
    <t>ALVENARIA DE VEDAÇÃO DE BLOCOS CERÂMICOS FURADOS NA VERTICAL DE 14X19X39 CM (ESPESSURA 14 CM) E ARGAMASSA DE ASSENTAMENTO COM PREPARO EM BETONEIRA. AF_12/2021</t>
  </si>
  <si>
    <t>103324</t>
  </si>
  <si>
    <t>MASSA ÚNICA (REBOCO), EM ARGAMASSA TRAÇO 1:2:8, PREPARO MECÂNICO, APLICADA MANUALMENTE EM PAREDES INTERNAS DE AMBIENTES COM ÁREA ENTRE 5M² E 10M², E = 17,5MM, COM TALISCAS. AF_03/2024</t>
  </si>
  <si>
    <t>3.1.1.2</t>
  </si>
  <si>
    <t>3.1.1.3</t>
  </si>
  <si>
    <t>3.1.1.4</t>
  </si>
  <si>
    <t>3.1.1.5</t>
  </si>
  <si>
    <t>3.1.1.6</t>
  </si>
  <si>
    <t>SUBTOTAL ITEM 3.1.1</t>
  </si>
  <si>
    <t>3.1.2</t>
  </si>
  <si>
    <t>3.1.3</t>
  </si>
  <si>
    <t>3.1.4</t>
  </si>
  <si>
    <t>3.1.5</t>
  </si>
  <si>
    <t>3.1.6</t>
  </si>
  <si>
    <t>3.1.2.1</t>
  </si>
  <si>
    <t>3.1.2.2</t>
  </si>
  <si>
    <t>3.1.2.3</t>
  </si>
  <si>
    <t>3.1.3.1</t>
  </si>
  <si>
    <t>3.1.4.1</t>
  </si>
  <si>
    <t>3.1.4.2</t>
  </si>
  <si>
    <t>3.1.4.3</t>
  </si>
  <si>
    <t>3.1.4.4</t>
  </si>
  <si>
    <t>03.25.09</t>
  </si>
  <si>
    <t>3.1.5.1</t>
  </si>
  <si>
    <t>3.1.6.1</t>
  </si>
  <si>
    <t>02 Portas de correr em alumínio 0,90 X 2,10 M - com pintura eletrostática, sob medida, instalada - sem vidro</t>
  </si>
  <si>
    <t>CUBA DE EMBUTIR OVAL EM LOUÇA BRANCA, 35 X 50CM OU EQUIVALENTE - FORNECIMENTO E INSTALAÇÃO. AF_01/2020</t>
  </si>
  <si>
    <t>86885</t>
  </si>
  <si>
    <t>ENGATE FLEXÍVEL EM PLÁSTICO BRANCO, 1/2 X 40CM - FORNECIMENTO E INSTALAÇÃO. AF_01/2020</t>
  </si>
  <si>
    <t>TORNEIRA CROMADA DE MESA, 1/2 OU 3/4, PARA LAVATÓRIO, PADRÃO MÉDIO - FORNECIMENTO E INSTALAÇÃO. AF_01/2020</t>
  </si>
  <si>
    <t>VASO SANITÁRIO SIFONADO COM CAIXA ACOPLADA LOUÇA BRANCA, INCLUSO ENGATE FLEXÍVEL EM PLÁSTICO BRANCO, 1/2  X 40CM - FORNECIMENTO E INSTALAÇÃO. AF_01/2020</t>
  </si>
  <si>
    <t>100849</t>
  </si>
  <si>
    <t>ASSENTO SANITÁRIO CONVENCIONAL - FORNECIMENTO E INSTALACAO. AF_01/2020</t>
  </si>
  <si>
    <t>m</t>
  </si>
  <si>
    <t>INSTALAÇÕES HIDRÁULICAS</t>
  </si>
  <si>
    <t>TUBO, PVC, SOLDÁVEL, DN 25MM, INSTALADO EM RAMAL DE DISTRIBUIÇÃO DE ÁGUA - FORNECIMENTO E INSTALAÇÃO. AF_06/2022</t>
  </si>
  <si>
    <t>JOELHO 90 GRAUS, PVC, SOLDÁVEL, DN 25MM, INSTALADO EM PRUMADA DE ÁGUA - FORNECIMENTO E INSTALAÇÃO. AF_06/2022</t>
  </si>
  <si>
    <t>TE, PVC, SOLDÁVEL, DN 25MM, INSTALADO EM PRUMADA DE ÁGUA - FORNECIMENTO E INSTALAÇÃO. AF_06/2022</t>
  </si>
  <si>
    <t>REGISTRO DE GAVETA BRUTO, LATÃO, ROSCÁVEL, 3/4", COM ACABAMENTO E CANOPLA CROMADOS - FORNECIMENTO E INSTALAÇÃO. AF_08/2021</t>
  </si>
  <si>
    <t>INSTALAÇÕES SANITÁRIAS / PLUVIAL</t>
  </si>
  <si>
    <t>89711</t>
  </si>
  <si>
    <t>TUBO PVC, SERIE NORMAL, ESGOTO PREDIAL, DN 40 MM, FORNECIDO E INSTALADO EM RAMAL DE DESCARGA OU RAMAL DE ESGOTO SANITÁRIO. AF_08/2022</t>
  </si>
  <si>
    <t>89712</t>
  </si>
  <si>
    <t>TUBO PVC, SERIE NORMAL, ESGOTO PREDIAL, DN 50 MM, FORNECIDO E INSTALADO EM RAMAL DE DESCARGA OU RAMAL DE ESGOTO SANITÁRIO. AF_08/2022</t>
  </si>
  <si>
    <t>89714</t>
  </si>
  <si>
    <t>TUBO PVC, SERIE NORMAL, ESGOTO PREDIAL, DN 100 MM, FORNECIDO E INSTALADO EM RAMAL DE DESCARGA OU RAMAL DE ESGOTO SANITÁRIO. AF_08/2022</t>
  </si>
  <si>
    <t>89726</t>
  </si>
  <si>
    <t>JOELHO 45 GRAUS, PVC, SERIE NORMAL, ESGOTO PREDIAL, DN 40 MM, JUNTA SOLDÁVEL, FORNECIDO E INSTALADO EM RAMAL DE DESCARGA OU RAMAL DE ESGOTO SANITÁRIO. AF_08/2022</t>
  </si>
  <si>
    <t>89732</t>
  </si>
  <si>
    <t>JOELHO 45 GRAUS, PVC, SERIE NORMAL, ESGOTO PREDIAL, DN 50 MM, JUNTA ELÁSTICA, FORNECIDO E INSTALADO EM RAMAL DE DESCARGA OU RAMAL DE ESGOTO SANITÁRIO. AF_08/2022</t>
  </si>
  <si>
    <t>89746</t>
  </si>
  <si>
    <t>JOELHO 45 GRAUS, PVC, SERIE NORMAL, ESGOTO PREDIAL, DN 100 MM, JUNTA ELÁSTICA, FORNECIDO E INSTALADO EM RAMAL DE DESCARGA OU RAMAL DE ESGOTO SANITÁRIO. AF_08/2022</t>
  </si>
  <si>
    <t>89724</t>
  </si>
  <si>
    <t>JOELHO 90 GRAUS, PVC, SERIE NORMAL, ESGOTO PREDIAL, DN 40 MM, JUNTA SOLDÁVEL, FORNECIDO E INSTALADO EM RAMAL DE DESCARGA OU RAMAL DE ESGOTO SANITÁRIO. AF_08/2022</t>
  </si>
  <si>
    <t>3659</t>
  </si>
  <si>
    <t xml:space="preserve">JUNCAO SIMPLES DE REDUCAO, PVC, DN 100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</si>
  <si>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89753</t>
  </si>
  <si>
    <t>LUVA SIMPLES, PVC, SERIE NORMAL, ESGOTO PREDIAL, DN 50 MM, JUNTA ELÁSTICA, FORNECIDO E INSTALADO EM RAMAL DE DESCARGA OU RAMAL DE ESGOTO SANITÁRIO. AF_08/2022</t>
  </si>
  <si>
    <t>89778</t>
  </si>
  <si>
    <t>LUVA SIMPLES, PVC, SERIE NORMAL, ESGOTO PREDIAL, DN 100 MM, JUNTA ELÁSTICA, FORNECIDO E INSTALADO EM RAMAL DE DESCARGA OU RAMAL DE ESGOTO SANITÁRIO. AF_08/2022</t>
  </si>
  <si>
    <t>97906</t>
  </si>
  <si>
    <t>CAIXA ENTERRADA HIDRÁULICA RETANGULAR, EM ALVENARIA COM BLOCOS DE CONCRETO, DIMENSÕES INTERNAS: 0,6X0,6X0,6 M PARA REDE DE ESGOTO. AF_12/2020</t>
  </si>
  <si>
    <t>97735</t>
  </si>
  <si>
    <t>89707</t>
  </si>
  <si>
    <t>CAIXA SIFONADA, PVC, DN 100 X 100 X 50 MM, JUNTA ELÁSTICA, FORNECIDA E INSTALADA EM RAMAL DE DESCARGA OU EM RAMAL DE ESGOTO SANITÁRIO. AF_08/2022</t>
  </si>
  <si>
    <t>ESCAVAÇÃO MANUAL DE VALA PARA PASSAGEM DE TUBULAÇÃO DE ÁGUA (TRAZER PONTO DA LAVANDERIA PARA O BANHEIRO DO PLENARINHO) E TUBULAÇÃO DE ESGOTO (LEVAR PONTO DO ESGOTO PELO CORREDOR EXTERNO DO ESTACIONAMENTO ATÉ A CAIXA DE PASSAGEM DE ESGOTO.</t>
  </si>
  <si>
    <t>3.1.1.7</t>
  </si>
  <si>
    <t>02 Portas de correr em alumínio 1,65 X 2,13 M - 02 folhas - com pintura eletrostática, sob medida, instalada - sem vidro (PADRÃO JÁ EXISTENTE NA CÂMARA MUNICIPAL)</t>
  </si>
  <si>
    <t>JOELHO 90 GRAUS COM BUCHA DE LATÃO, PVC, SOLDÁVEL, DN 25MM, X 3/4 INSTALADO EM RAMAL OU SUB-RAMAL DE ÁGUA - FORNECIMENTO E INSTALAÇÃO. AF_06/2022</t>
  </si>
  <si>
    <t>LUVA SOLDÁVEL E COM ROSCA, PVC, SOLDÁVEL, DN 25MM X 3/4 , INSTALADO EM RAMAL OU SUB-RAMAL DE ÁGUA - FORNECIMENTO E INSTALAÇÃO. AF_06/2022</t>
  </si>
  <si>
    <t>Ducha higiênica com registro, ref. Belle Epoque Light 1984 C51 da Deca, Delicatta 10906 da Docol, Aquarius 2195-A da Fabrimar ou equivalente</t>
  </si>
  <si>
    <t>RODABANCA/FRONTÃO PARA BANCADA EM GRANITO ESP. 2CM, ALTURA DE 10CM, INCLUSIVE REJUNTAMENTO EM MASSA PLÁSTICA NA COR DA PEDRA</t>
  </si>
  <si>
    <t>06.61.71</t>
  </si>
  <si>
    <t>BANCADA EM GRANITO POLIDO - ESPESSURA 2,5CM</t>
  </si>
  <si>
    <t>87372</t>
  </si>
  <si>
    <t>11795</t>
  </si>
  <si>
    <t>ARGAMASSA TRAÇO 1:3 (EM VOLUME DE CIMENTO E AREIA MÉDIA ÚMIDA)
PARA CONTRAPISO, PREPARO MANUAL. AF_08/2019</t>
  </si>
  <si>
    <t>GRANITO PARA BANCADA, POLIDO, TIPO ANDORINHA/ QUARTZ/ CASTELO/
CORUMBA OU OUTROS EQUIVALENTES DA REGIAO, E= *2,5* CM</t>
  </si>
  <si>
    <t>MASSA PLASTICA PARA MARMORE/GRANITO</t>
  </si>
  <si>
    <t>SUBTOTAL ITEM 3.1.4</t>
  </si>
  <si>
    <t>SUBTOTAL ITEM 3.1.3</t>
  </si>
  <si>
    <t>SUBTOTAL ITEM 3.1.2</t>
  </si>
  <si>
    <t>SUBTOTAL ITEM 3.1.5</t>
  </si>
  <si>
    <t>SUBTOTAL ITEM 3.1.6</t>
  </si>
  <si>
    <t>3.1.7</t>
  </si>
  <si>
    <t>3.1.8</t>
  </si>
  <si>
    <t>3.1.9</t>
  </si>
  <si>
    <t>3.1.10</t>
  </si>
  <si>
    <t>3.1.7.1</t>
  </si>
  <si>
    <t>3.1.7.2</t>
  </si>
  <si>
    <t>3.1.7.3</t>
  </si>
  <si>
    <t>3.1.7.4</t>
  </si>
  <si>
    <t>3.1.7.5</t>
  </si>
  <si>
    <t>3.1.7.6</t>
  </si>
  <si>
    <t>3.1.8.1</t>
  </si>
  <si>
    <t>3.1.8.2</t>
  </si>
  <si>
    <t>3.1.8.3</t>
  </si>
  <si>
    <t>3.1.8.4</t>
  </si>
  <si>
    <t>3.1.8.5</t>
  </si>
  <si>
    <t>3.1.8.6</t>
  </si>
  <si>
    <t>3.1.9.1</t>
  </si>
  <si>
    <t>3.1.9.2</t>
  </si>
  <si>
    <t>3.1.9.3</t>
  </si>
  <si>
    <t>3.1.9.4</t>
  </si>
  <si>
    <t>3.1.9.5</t>
  </si>
  <si>
    <t>3.1.9.6</t>
  </si>
  <si>
    <t>3.1.10.1</t>
  </si>
  <si>
    <t>3.1.10.2</t>
  </si>
  <si>
    <t>3.1.10.3</t>
  </si>
  <si>
    <t>3.1.10.4</t>
  </si>
  <si>
    <t>3.1.10.5</t>
  </si>
  <si>
    <t>3.1.10.6</t>
  </si>
  <si>
    <t>3.1.10.7</t>
  </si>
  <si>
    <t>3.1.10.9</t>
  </si>
  <si>
    <t>3.1.10.10</t>
  </si>
  <si>
    <t>3.1.10.11</t>
  </si>
  <si>
    <t>3.1.10.12</t>
  </si>
  <si>
    <t>3.1.10.13</t>
  </si>
  <si>
    <t>3.1.10.14</t>
  </si>
  <si>
    <t>PEÇA RETANGULAR PRÉ-MOLDADA, VOLUME DE CONCRETO DE 30 A 100 LITROS, TAXA DE AÇO APROXIMADA DE 30KG/M³. AF_01/2018 (TAMPA DA CAIXA DE PASSAGEM ESGOTO))</t>
  </si>
  <si>
    <t>SUBTOTAL ITEM 3.1.7</t>
  </si>
  <si>
    <t>SUBTOTAL ITEM 3.1.8</t>
  </si>
  <si>
    <t>SUBTOTAL ITEM 3.1.9</t>
  </si>
  <si>
    <t>SUBTOTAL ITEM 3.1.10</t>
  </si>
  <si>
    <t>09.02.05</t>
  </si>
  <si>
    <t>INTERRUPTOR SIMPLES (2 MÓDULOS) COM 1 TOMADA DE EMBUTIR 2P+T 10 A, INCLUINDO SUPORTE E PLACA - FORNECIMENTO E INSTALAÇÃO. AF_03/2023</t>
  </si>
  <si>
    <t>CAIXA RETANGULAR 4" X 2", PVC, INSTALADA EM PAREDE - FORNECIMENTO E INSTALAÇÃO. AF_03/2023</t>
  </si>
  <si>
    <t>04.50.46</t>
  </si>
  <si>
    <t>Caixa de tomada 4" x 4" em alumínio para piso, com saída de 3/4" ou 1", ref. Tramontina, Stamplac, Olivo ou equivalente</t>
  </si>
  <si>
    <t>TOMADA BAIXA DE EMBUTIR (2 MÓDULOS), 2P+T 10 A, INCLUINDO SUPORTE E PLACA - FORNECIMENTO E INSTALAÇÃO. AF_03/2023</t>
  </si>
  <si>
    <t>TOMADA ALTA DE EMBUTIR (1 MÓDULO), 2P+T 20 A, INCLUINDO SUPORTE E PLACA - FORNECIMENTO E INSTALAÇÃO. AF_03/2023 (AR CONDICIONADO)</t>
  </si>
  <si>
    <t>TOMADA MÉDIA DE EMBUTIR (3 MÓDULOS), 2P+T 10 A, INCLUINDO SUPORTE E PLACA - FORNECIMENTO E INSTALAÇÃO. AF_03/2023</t>
  </si>
  <si>
    <t>TOMADA MÉDIA DE EMBUTIR (1 MÓDULO), 2P+T 10 A, INCLUINDO SUPORTE E PLACA - FORNECIMENTO E INSTALAÇÃO. AF_03/202</t>
  </si>
  <si>
    <t>TOMADA DE REDE RJ45 - FORNECIMENTO E INSTALAÇÃO. AF_11/2019</t>
  </si>
  <si>
    <t>TOMADA PARA TELEFONE RJ11 - FORNECIMENTO E INSTALAÇÃO. AF_11/2019</t>
  </si>
  <si>
    <t>TOMADA TV/SAT - FORNECIMENTO E INSTALAÇÃO. AF_11/2019</t>
  </si>
  <si>
    <t>CABO COAXIAL RG11 95% - FORNECIMENTO E INSTALAÇÃO. AF_11/2019 (TV)</t>
  </si>
  <si>
    <t>CABO ELETRÔNICO CATEGORIA 6A, INSTALADO EM EDIFICAÇÃO INSTITUCIONAL - FORNECIMENTO E INSTALAÇÃO. AF_11/2019 (INTERNET)</t>
  </si>
  <si>
    <t>PISO VINÍLICO SEMI-FLEXÍVEL EM PLACAS, PADRÃO LISO, ESPESSURA 3,2 MM, FIXADO COM COLA. AF_09/2020</t>
  </si>
  <si>
    <t>101727</t>
  </si>
  <si>
    <t>3.1.2.4</t>
  </si>
  <si>
    <t>BANHEIRO PLENÁRINHO</t>
  </si>
  <si>
    <t>VINÍLICO</t>
  </si>
  <si>
    <t>P5 - Porta de Correr MDF
0,90 x 2,10 m</t>
  </si>
  <si>
    <t>03.00.03</t>
  </si>
  <si>
    <t>Porta lisa de correr suspensa em madeira Curupixá, freijo, com batente e trilho na parte superior (Portas interna de correr - 0,90 x 2,10 m)</t>
  </si>
  <si>
    <t>DRYWALL</t>
  </si>
  <si>
    <t>ALVENARIA EM BLOCO</t>
  </si>
  <si>
    <t>CONDULETE DE ALUMÍNIO, PARA ELETRODUTO DE AÇO GALVANIZADO DN 25 MM (1''), APARENTE - FORNECIMENTO E INSTALAÇÃO. AF_10/2022 - TOMADAS APARENTE E INTERRUPTOR</t>
  </si>
  <si>
    <t>TOMADA BAIXA / PISO DE EMBUTIR (1 MÓDULO), 2P+T 10 A, INCLUINDO SUPORTE E PLACA - FORNECIMENTO E INSTALAÇÃO. AF_03/2023</t>
  </si>
  <si>
    <t>02.03.59</t>
  </si>
  <si>
    <t>Remoção de entulho de obra, material volumoso (mistura de alvenaria, terra, madeira, papel, plástico e metal), capacidade 4 m³</t>
  </si>
  <si>
    <t>00003</t>
  </si>
  <si>
    <t>ACIDO CLORIDRICO / ACIDO MURIATICO, DILUICAO 10% A 12% PARA USO EM LIMPEZA</t>
  </si>
  <si>
    <t>DETERGENTE NEUTRO USO GERAL, CONCENTRADO</t>
  </si>
  <si>
    <t>44329</t>
  </si>
  <si>
    <t>LIMPEZA MANUAL DE OBRA COM LAVAGEM DE PISO E REMOÇÃO DE IMPUREZAS PROVENIENTES DA OBRA</t>
  </si>
  <si>
    <t>3.2.1.2</t>
  </si>
  <si>
    <t>3.2.1.3</t>
  </si>
  <si>
    <t>3.2.1.4</t>
  </si>
  <si>
    <t>3.2.1.5</t>
  </si>
  <si>
    <t>3.2.1.6</t>
  </si>
  <si>
    <t>SUBTOTAL ITEM 3.2.1</t>
  </si>
  <si>
    <t>3.1.8.7</t>
  </si>
  <si>
    <t>3.1.8.8</t>
  </si>
  <si>
    <t>3.1.8.9</t>
  </si>
  <si>
    <t>3.1.10.8</t>
  </si>
  <si>
    <t>3.1.10.15</t>
  </si>
  <si>
    <t>3.1.10.16</t>
  </si>
  <si>
    <t>3.1.10.17</t>
  </si>
  <si>
    <t>3.1.10.18</t>
  </si>
  <si>
    <t>3.1.10.19</t>
  </si>
  <si>
    <t>3.1.10.20</t>
  </si>
  <si>
    <t>3.1.11</t>
  </si>
  <si>
    <t>3.1.11.1</t>
  </si>
  <si>
    <t>3.1.11.2</t>
  </si>
  <si>
    <t>3.1.11.3</t>
  </si>
  <si>
    <t>3.1.11.4</t>
  </si>
  <si>
    <t>3.1.11.5</t>
  </si>
  <si>
    <t>3.1.11.6</t>
  </si>
  <si>
    <t>3.1.11.7</t>
  </si>
  <si>
    <t>3.1.11.8</t>
  </si>
  <si>
    <t>3.1.11.9</t>
  </si>
  <si>
    <t>3.1.11.10</t>
  </si>
  <si>
    <t>3.1.11.11</t>
  </si>
  <si>
    <t>3.1.11.12</t>
  </si>
  <si>
    <t>3.1.11.13</t>
  </si>
  <si>
    <t>3.2.2</t>
  </si>
  <si>
    <t>3.2.3</t>
  </si>
  <si>
    <t>3.2.4</t>
  </si>
  <si>
    <t>3.2.5</t>
  </si>
  <si>
    <t>3.2.6</t>
  </si>
  <si>
    <t>3.2.7</t>
  </si>
  <si>
    <t>3.2.8</t>
  </si>
  <si>
    <t>3.2.8.1</t>
  </si>
  <si>
    <t>3.2.8.2</t>
  </si>
  <si>
    <t>3.2.8.3</t>
  </si>
  <si>
    <t>3.2.8.4</t>
  </si>
  <si>
    <t>3.2.8.5</t>
  </si>
  <si>
    <t>3.2.8.6</t>
  </si>
  <si>
    <t>3.2.8.7</t>
  </si>
  <si>
    <t>3.2.8.8</t>
  </si>
  <si>
    <t>3.2.8.9</t>
  </si>
  <si>
    <t>3.2.8.10</t>
  </si>
  <si>
    <t>3.2.8.11</t>
  </si>
  <si>
    <t>3.2.8.12</t>
  </si>
  <si>
    <t>3.2.8.13</t>
  </si>
  <si>
    <t>3.2.7.1</t>
  </si>
  <si>
    <t>3.2.7.2</t>
  </si>
  <si>
    <t>3.2.7.3</t>
  </si>
  <si>
    <t>3.2.7.4</t>
  </si>
  <si>
    <t>3.2.7.5</t>
  </si>
  <si>
    <t>3.2.7.6</t>
  </si>
  <si>
    <t>3.2.7.7</t>
  </si>
  <si>
    <t>3.2.7.8</t>
  </si>
  <si>
    <t>3.2.6.1</t>
  </si>
  <si>
    <t>3.2.6.2</t>
  </si>
  <si>
    <t>3.2.5.1</t>
  </si>
  <si>
    <t>3.2.5.2</t>
  </si>
  <si>
    <t>3.2.4.1</t>
  </si>
  <si>
    <t>3.2.4.2</t>
  </si>
  <si>
    <t>3.2.4.3</t>
  </si>
  <si>
    <t>3.2.3.1</t>
  </si>
  <si>
    <t>3.2.3.2</t>
  </si>
  <si>
    <t>3.2.2.1</t>
  </si>
  <si>
    <t>3.2.2.2</t>
  </si>
  <si>
    <t>3.2.2.3</t>
  </si>
  <si>
    <t>CUBA LOUÇA BRANCA</t>
  </si>
  <si>
    <t>BANCADAS, LOUÇAS E METAIS</t>
  </si>
  <si>
    <t>APARELHO MISTURADOR DE MESA PARA PIA DE COZINHA, PADRÃO MÉDIO - FORNECIMENTO E INSTALAÇÃO. AF_01/2020</t>
  </si>
  <si>
    <t>TORNEIRA CROMADA TUBO MÓVEL, DE MESA, 1/2" OU 3/4", PARA LAVATÓRIO NA COZINHA, PADRÃO ALTO - FORNECIMENTO E INSTALAÇÃO. AF_01/2020</t>
  </si>
  <si>
    <t>REMOÇÃO DE BANCADAS DE PEDRA (MARMORE, GRANITO), SEM REAPROVEITAMENTO</t>
  </si>
  <si>
    <t>CUBA DE EMBUTIR DE AÇO INOXIDÁVEL MÉDIA OVAL, INCLUSO VÁLVULA TIPO AMERICANA E SIFÃO TIPO GARRAFA EM METAL CROMADO - FORNECIMENTO E INSTALAÇÃO AF_01/2020</t>
  </si>
  <si>
    <t>CUBA DE EMBUTIR RETANGULAR DE AÇO INOXIDÁVEL, 56 X 33 X 12 CM - FORNECIMENTO E INSTALAÇÃO</t>
  </si>
  <si>
    <t>CUBA ACO INOX (AISI 304) DE EMBUTIR COM VALVULA DE 3 1/2 ", DE *56 X 33 X 12* CM</t>
  </si>
  <si>
    <t>1747</t>
  </si>
  <si>
    <t>1,0000000</t>
  </si>
  <si>
    <t>174,69</t>
  </si>
  <si>
    <t>40,35</t>
  </si>
  <si>
    <t>30,81</t>
  </si>
  <si>
    <t>26,19</t>
  </si>
  <si>
    <t>VÁLVULA EM METAL CROMADO TIPO AMERICANA 3.1/2" X 1.1/2" PARA PIA - FORNECIMENTO E INSTALAÇÃO. AF_01/2020</t>
  </si>
  <si>
    <t>SIFÃO DO TIPO GARRAFA EM METAL CROMADO 1 X 1.1/2" - FORNECIMENTO E INSTALAÇÃO. AF_01/2020</t>
  </si>
  <si>
    <t>86881</t>
  </si>
  <si>
    <t>66,34</t>
  </si>
  <si>
    <t>184,32</t>
  </si>
  <si>
    <t>COZINHA</t>
  </si>
  <si>
    <t>3.3 - COPA / COZINHA</t>
  </si>
  <si>
    <t>3 - PLENARINHO / SALA TI / COPA E COZINHA</t>
  </si>
  <si>
    <t>REVESTIMENTO CERÂMICO PARA PAREDES INTERNAS COM PLACAS TIPO ESMALTADA DE DIMENSÕES 33X45 CM APLICADAS NA ALTURA INTEIRA DAS PAREDES. AF_02/2023_PE</t>
  </si>
  <si>
    <t>87273</t>
  </si>
  <si>
    <t>EMBOÇO, EM ARGAMASSA TRAÇO 1:2:8, PREPARO MECÂNICO, APLICADO MANUALMENTE EM PAREDES INTERNAS DE AMBIENTES COM ÁREA MENOR QUE 5M², E =17,5MM, COM TALISCAS. AF_03/2024</t>
  </si>
  <si>
    <t>3.3.1.3</t>
  </si>
  <si>
    <t>3.3.1.4</t>
  </si>
  <si>
    <t>3.3.1.5</t>
  </si>
  <si>
    <t>3.3.1.6</t>
  </si>
  <si>
    <t>JOELHO 90 GRAUS, PVC, SERIE NORMAL, ESGOTO PREDIAL, DN 50 MM, JUNTA ELÁSTICA, FORNECIDO E INSTALADO EM RAMAL DE DESCARGA OU RAMAL DE ESGOTO SANITÁRIO. AF_08/2022</t>
  </si>
  <si>
    <t>TUBO PVC, SERIE NORMAL, ESGOTO PREDIAL, DN 75 MM, FORNECIDO E INSTALADO EM RAMAL DE DESCARGA OU RAMAL DE ESGOTO SANITÁRIO. AF_08/2022</t>
  </si>
  <si>
    <t>JOELHO 45 GRAUS, PVC, SERIE NORMAL, ESGOTO PREDIAL, DN 75 MM, JUNTA ELÁSTICA, FORNECIDO E INSTALADO EM PRUMADA DE ESGOTO SANITÁRIO OU VENTILAÇÃO. AF_08/2022</t>
  </si>
  <si>
    <t>CAIXA DE GORDURA PEQUENA (CAPACIDADE: 19 L), CIRCULAR, EM PVC, DIÂMETRO INTERNO= 0,3 M. AF_12/2020</t>
  </si>
  <si>
    <t>INTERRUPTOR SIMPLES (2 MÓDULOS) COM INTERRUPTOR PARALELO (2 MÓDULOS), 10A/250V, INCLUINDO SUPORTE E PLACA - FORNECIMENTO E INSTALAÇÃO. AF_03/2023</t>
  </si>
  <si>
    <t>PINTURA EXTERNA</t>
  </si>
  <si>
    <t>5.1 - ESTACIONAMENTO DESCOBERTO</t>
  </si>
  <si>
    <t>LIMPEZA DE SUPERFÍCIE COM JATO DE ALTA PRESSÃO. AF_04/2019</t>
  </si>
  <si>
    <t>FUNDO PREPARADOR ACRÍLICO, APLICAÇÃO MANUAL EM PAREDE, UMA DEMÃO</t>
  </si>
  <si>
    <t>APLICAÇÃO MANUAL DE PINTURA COM TINTA TEXTURIZADA ACRÍLICA EM PANOS COM PRESENÇA DE VÃOS DE EDIFÍCIOS, UMA COR. AF_03/2024</t>
  </si>
  <si>
    <t>PINTURA EPOXI NO PISO</t>
  </si>
  <si>
    <t>TEXTURA</t>
  </si>
  <si>
    <t>PINTURA DE DEMARCAÇÃO DE VAGA COM TINTA EPÓXI, E = 10 CM, APLICAÇÃO MANUAL. AF_05/2021</t>
  </si>
  <si>
    <t>PINTURA DE SÍMBOLOS E TEXTOS COM TINTA EPOXI, APLICAÇÃO COM ROLO. AF_05/2021 - DESENHO PNE</t>
  </si>
  <si>
    <t>APLICAÇÃO MANUAL DE FUNDO SELADOR ACRÍLICO EM PAREDES EXTERNAS AF_03/2024</t>
  </si>
  <si>
    <t>100701</t>
  </si>
  <si>
    <t>REINSTALAÇÃO DE PORTÃO DE FERRO DE CORRER - INCLUSO TRILHOS E BATENTE</t>
  </si>
  <si>
    <t>30,19</t>
  </si>
  <si>
    <t>REMOÇÃO DE PORTÃO DE FERRO, DE FORMA MANUAL, COM REAPROVEITAMENTO</t>
  </si>
  <si>
    <t>Quadro de proteção para carregadores veiculares - 1 tomada de 32 amperes - 127/220 volts - CLAMPER Mobi Plug 220V 8KW</t>
  </si>
  <si>
    <t>ORÇAMENTO</t>
  </si>
  <si>
    <t>04.21.05</t>
  </si>
  <si>
    <t>Eletroduto com costura galvanizado eletroliticamente, DN = 1 1/2´ - NBR13057</t>
  </si>
  <si>
    <t>5.2 - ESTACIONAMENTO COBERTO</t>
  </si>
  <si>
    <t>ESTACIONAMENTO COBERTO</t>
  </si>
  <si>
    <t>ESTACIONAMENTO DESCOBERTO</t>
  </si>
  <si>
    <t>PREPARO DO PISO CIMENTADO PARA PINTURA - LIXAMENTO E LIMPEZA PARA REMOÇÃO DE TINTA EXISTENTE. AF_05/2021</t>
  </si>
  <si>
    <t>PINTURA DE PISO COM TINTA EPÓXI, APLICAÇÃO MANUAL, 2 DEMÃOS, INCLUSO PRIMER EPÓXI. AF_05/2021</t>
  </si>
  <si>
    <t>Caixa de passagem em alumínio fundido, à prova de tempo e tampa, de 200x200mm, profundidade mínima 100mm</t>
  </si>
  <si>
    <t>5.1.1</t>
  </si>
  <si>
    <t>5.1.2</t>
  </si>
  <si>
    <t>5.1.3</t>
  </si>
  <si>
    <t>5.1.4</t>
  </si>
  <si>
    <t>5.1.5</t>
  </si>
  <si>
    <t>5.1.6</t>
  </si>
  <si>
    <t>5.1.6.1</t>
  </si>
  <si>
    <t>5.1.6.4</t>
  </si>
  <si>
    <t>5.1.5.1</t>
  </si>
  <si>
    <t>5.1.5.2</t>
  </si>
  <si>
    <t>5.1.5.3</t>
  </si>
  <si>
    <t>5.1.5.4</t>
  </si>
  <si>
    <t>5.1.5.6</t>
  </si>
  <si>
    <t>5.1.4.1</t>
  </si>
  <si>
    <t>5.1.4.2</t>
  </si>
  <si>
    <t>5.1.4.3</t>
  </si>
  <si>
    <t>5.1.3.1</t>
  </si>
  <si>
    <t>5.1.2.1</t>
  </si>
  <si>
    <t>5.1.1.1</t>
  </si>
  <si>
    <t>5.1.1.2</t>
  </si>
  <si>
    <t>5.1.1.3</t>
  </si>
  <si>
    <t>SUBTOTAL ITEM 5.1.1</t>
  </si>
  <si>
    <t>SUBTOTAL ITEM 5.1.2</t>
  </si>
  <si>
    <t>SUBTOTAL ITEM 5.1.3</t>
  </si>
  <si>
    <t>SUBTOTAL ITEM 5.1.4</t>
  </si>
  <si>
    <t>SUBTOTAL ITEM 5.1.5</t>
  </si>
  <si>
    <t>SUBTOTAL ITEM 5.1.6</t>
  </si>
  <si>
    <t>5 - ESTACIONAMENTOS / LAVANDERIA E HALL</t>
  </si>
  <si>
    <t>5.3 - LAVANDERIA E HALL</t>
  </si>
  <si>
    <t>TOTAL ITEM 5.2</t>
  </si>
  <si>
    <t>TOTAL ITEM 5.3</t>
  </si>
  <si>
    <t>REVESTIMENTOS</t>
  </si>
  <si>
    <t>Arthur Borges Préve</t>
  </si>
  <si>
    <t>Engenheiro Civil</t>
  </si>
  <si>
    <t>CREA-MG 211.840/D</t>
  </si>
  <si>
    <t>Painel Plafon De Led Quadrado Sobrepor 18w 3000K Bivolt Luz Branco Neutro</t>
  </si>
  <si>
    <t>LUMINARIA LED PLAFON REDONDO DE SOBREPOR BIVOLT 12/13 W, D = *17* CM</t>
  </si>
  <si>
    <t>AUXILIAR DE ELETRICISTA COM ENCARGOS COMPLEMENTARES</t>
  </si>
  <si>
    <t>ELETRICISTA COM ENCARGOS COMPLEMENTARES</t>
  </si>
  <si>
    <t>0,3700000</t>
  </si>
  <si>
    <t>28,68</t>
  </si>
  <si>
    <t>88247</t>
  </si>
  <si>
    <t>88264</t>
  </si>
  <si>
    <t>SUBTOTAL ITEM 5.2.1</t>
  </si>
  <si>
    <t>5.2.1</t>
  </si>
  <si>
    <t>5.2.2</t>
  </si>
  <si>
    <t>5.2.3</t>
  </si>
  <si>
    <t>SUBTOTAL ITEM 5.2.3</t>
  </si>
  <si>
    <t>5.2.3.1</t>
  </si>
  <si>
    <t>5.2.3.2</t>
  </si>
  <si>
    <t>5.2.3.3</t>
  </si>
  <si>
    <t>5.2.3.4</t>
  </si>
  <si>
    <t>5.2.2.1</t>
  </si>
  <si>
    <t>5.2.2.2</t>
  </si>
  <si>
    <t>5.2.2.3</t>
  </si>
  <si>
    <t>5.2.1.1</t>
  </si>
  <si>
    <t>5.3.1</t>
  </si>
  <si>
    <t>SUBTOTAL ITEM 5.3.1</t>
  </si>
  <si>
    <t>LAVANDERIA</t>
  </si>
  <si>
    <t>HALL</t>
  </si>
  <si>
    <t>DE LOUÇAS, DE FORMA MANUAL (TANQUE DA LAVANDERIA), COM REAPROVEITAMENTO</t>
  </si>
  <si>
    <t>COMP011</t>
  </si>
  <si>
    <t>ENCANADOR OU BOMBEIRO HIDRÁULICO COM ENCARGOS COMPLEMENTARES</t>
  </si>
  <si>
    <t>88267</t>
  </si>
  <si>
    <t>DEMOLIÇÃO DE PISO DE CONCRETO SIMPLES, DE FORMA MECANIZADA COM MARTELETE, SEM REAPROVEITAMENTO, INCLUSIVE SOLEIRA DE PORTA (DEMOLIÇÃO DA DO PISO DA LAVANDERIA E DO PISO DO HALL, QUE PASSARÁ A NOVA TUBULAÇÃO DO BANHEIRO DO PLENARINHO)</t>
  </si>
  <si>
    <t>CONTRAPISO COM ARGAMASSA AUTONIVELANTE, APLICADO SOBRE LAJE, NÃO ADERIDO, ESPESSURA 5CM. AF_07/2021</t>
  </si>
  <si>
    <t>CONTRAPISO EM CONCRETO USINADO FCK = 20,0 MPA - ESPESSURA 10 CM (ÁREA EXTERNA DO HALL)</t>
  </si>
  <si>
    <t>REVESTIMENTO CERÂMICO PARA PISO COM PLACAS TIPO PORCELANATO DE DIMENSÕES 60X60 CM APLICADA EM AMBIENTES DE ÁREA MENOR QUE 5 M². AF_02/2023_PE
PORCELANATO COM ALTA RESISTÊNCIA MECÂNICA - PEI5</t>
  </si>
  <si>
    <t>P1 - Alumínio com vidro (lavanderia)
0,80 x 2,10 m</t>
  </si>
  <si>
    <t>J2 - Alumínio com vidro (lavanderia)
0,60X0,60 m</t>
  </si>
  <si>
    <t xml:space="preserve">J1 - Vidro Fixo em alumínio (Sala da TI)
2,97x0,50
</t>
  </si>
  <si>
    <t>JANELA DE ALUMÍNIO TIPO MAXIM-AR, COM VIDROS, BATENTE E FERRAGENS. EXCLUSIVE ALIZAR, ACABAMENTO E CONTRAMARCO. FORNECIMENTO E INSTALAÇÃO. AF_12/2019</t>
  </si>
  <si>
    <t>CONTRAMARCO DE ALUMÍNIO, FIXAÇÃO COM ARGAMASSA - FORNECIMENTO E INSTALAÇÃO. AF_12/2019</t>
  </si>
  <si>
    <t>TANQUE DE LOUÇA BRANCA SUSPENSO, 18L OU EQUIVALENTE, INCLUSO SIFÃO TIPO GARRAFA EM METAL CROMADO, VÁLVULA METÁLICA E TORNEIRA DE METAL CROMADO PADRÃO MÉDIO - FORNECIMENTO E INSTALAÇÃO. AF_01/2020</t>
  </si>
  <si>
    <t>TORNEIRA CROMADA 1/2" OU 3/4" PARA LIGAR MÁQUINA DE LAVAR, PADRÃO MÉDIO - FORNECIMENTOE INSTALAÇÃO. AF_01/2020</t>
  </si>
  <si>
    <t>CAIXA RETANGULAR 4" X 2" MÉDIA (1,30 M DO PISO), METÁLICA, INSTALADA EM PAREDE - FORNECIMENTO E INSTALAÇÃO. AF_03/2023</t>
  </si>
  <si>
    <t>CONDULETE DE ALUMÍNIO, PARA ELETRODUTO DE AÇO GALVANIZADO DN 25 MM (1''), APARENTE - FORNECIMENTO E INSTALAÇÃO. AF_10/2022 - CAIXA PARA FIXAÇÃO DAS LUMINÁRIAS NO HALL</t>
  </si>
  <si>
    <t>LUMINÁRIA ARANDELA TIPO TARTARUGA, DE SOBREPOR, COM 1 LÂMPADA LED DE 9W -FORNECIMENTO E INSTALAÇÃO. AF_02/2020 (HALL)</t>
  </si>
  <si>
    <t>Painel Plafon De Led Quadrado Sobrepor 18w 3000K Bivolt Luz Branco Neutro (LAVANDERIA)</t>
  </si>
  <si>
    <t>ELETRODUTO FLEXÍVEL CORRUGADO, PVC, DN 25 MM (3/4"), PARA CIRCUITOS TERMINAIS, INSTALADO EM FORRO - FORNECIMENTO E INSTALAÇÃO. AF_03/2023_PA (LAVANDERIA)</t>
  </si>
  <si>
    <t>ESCAVAÇÃO MANUAL DE VALA PARA PASSAGEM DE TUBULAÇÃO DE ESGOTO (LEVAR PONTO DO ESGOTO PELO CORREDOR EXTERNO DO ESTACIONAMENTO ATÉ A CAIXA DE PASSAGEM DE ESGOTO).</t>
  </si>
  <si>
    <t>REASSENTAMENTO DE BLOCOS RETANGULAR PARA PISO INTERTRAVADO, ESPESSURADE 6 CM, EM CALÇADA, COM REAPROVEITAMENTO DOS BLOCOS RETANGULAR - INCLUSO RETIRADA E COLOCAÇÃO DO MATERIAL. AF_12/2020 (REGIÃO DA EXECUÇÃO DA TUBULAÇÃO DA LAVANDERIA)</t>
  </si>
  <si>
    <t>FUNDAÇÕES</t>
  </si>
  <si>
    <t>ESCAVAÇÃO MANUAL PARA BLOCO DE COROAMENTO OU SAPATA (INCLUINDO ESCAVAÇÃO PARA COLOCAÇÃO DE FÔRMAS). AF_06/2017</t>
  </si>
  <si>
    <t>ESCAVAÇÃO MANUAL DE VALA PARA VIGA BALDRAME (INCLUINDO ESCAVAÇÃO PARA COLOCAÇÃO DE FÔRMAS). AF_06/2017</t>
  </si>
  <si>
    <t>PREPARO DE FUNDO DE VALA COM LARGURA MENOR QUE 1,5 M (ACERTO DO SOLO NATURAL). AF_08/2020</t>
  </si>
  <si>
    <t>FABRICAÇÃO, MONTAGEM E DESMONTAGEM DE FÔRMA PARA VIGA BALDRAME, EM MADEIRA SERRADA, E=25 MM, 4 UTILIZAÇÕES. AF_06/2017</t>
  </si>
  <si>
    <t>CONCRETAGEM DE BLOCOS DE COROAMENTO E VIGAS BALDRAME, FCK 30 MPA, COM USO DE JERICA  LANÇAMENTO, ADENSAMENTO E ACABAMENTO. AF_06/2017</t>
  </si>
  <si>
    <t>ARMAÇÃO DE BLOCO, VIGA BALDRAME E SAPATA UTILIZANDO AÇO CA-60 DE 5 MM - MONTAGEM. AF_06/2017</t>
  </si>
  <si>
    <t>ARMAÇÃO DE BLOCO, VIGA BALDRAME OU SAPATA UTILIZANDO AÇO CA-50 DE 6,3 MM - MONTAGEM. AF_06/2017</t>
  </si>
  <si>
    <t>ARMAÇÃO DE BLOCO, VIGA BALDRAME OU SAPATA UTILIZANDO AÇO CA-50 DE 8 MM - MONTAGEM. AF_06/2017</t>
  </si>
  <si>
    <t>REATERRO MANUAL DE VALAS, COM COMPACTADOR DE SOLOS DE PERCUSSÃO. AF_08/2023</t>
  </si>
  <si>
    <t>IMPERMEABILIZAÇÃO DE SUPERFÍCIE COM EMULSÃO ASFÁLTICA, 2 DEMÃOS. AF_09/2023</t>
  </si>
  <si>
    <t>CONCRETAGEM DE BLOCOS DE COROAMENTO E VIGAS BALDRAME, FCK 25 MPA, COM USO DE JERICA  LANÇAMENTO, ADENSAMENTO E ACABAMENTO.</t>
  </si>
  <si>
    <t>90586</t>
  </si>
  <si>
    <t>VIBRADOR DE IMERSÃO, DIÂMETRO DE PONTEIRA 45MM, MOTOR ELÉTRICO TRIFÁSICO POTÊNCIA DE 2 CV - CHP DIURNO. AF_06/2015</t>
  </si>
  <si>
    <t>CHP</t>
  </si>
  <si>
    <t>90587</t>
  </si>
  <si>
    <t>VIBRADOR DE IMERSÃO, DIÂMETRO DE PONTEIRA 45MM, MOTOR ELÉTRICO TRIFÁSICO POTÊNCIA DE 2 CV - CHI DIURNO. AF_06/2015</t>
  </si>
  <si>
    <t>CHI</t>
  </si>
  <si>
    <t>94971</t>
  </si>
  <si>
    <t>CONCRETO FCK = 25MPA, TRAÇO 1:2,3:2,7 (EM MASSA SECA DE CIMENTO/ AREIA MÉDIA/ BRITA 1) - PREPARO MECÂNICO COM BETONEIRA 600 L. AF_05/2021</t>
  </si>
  <si>
    <t>COMP012</t>
  </si>
  <si>
    <t>SUPERESTRUTURA</t>
  </si>
  <si>
    <t>4.1</t>
  </si>
  <si>
    <t>MONTAGEM E DESMONTAGEM DE FÔRMA DE PILARES RETANGULARES E ESTRUTURAS SIMILARES, PÉ-DIREITO SIMPLES, EM CHAPA DE MADEIRA COMPENSADA RESINADA, 8 UTILIZAÇÕES. AF_09/2020</t>
  </si>
  <si>
    <t>4.2</t>
  </si>
  <si>
    <t>MONTAGEM E DESMONTAGEM DE FÔRMA DE VIGA, ESCORAMENTO COM GARFO DE MADEIRA, PÉ-DIREITO SIMPLES, EM CHAPA DE MADEIRA RESINADA, 8 UTILIZAÇÕES. AF_09/2020</t>
  </si>
  <si>
    <t>4.3</t>
  </si>
  <si>
    <t>ARMAÇÃO DE PILAR OU VIGA DE ESTRUTURA CONVENCIONAL DE CONCRETO ARMADO UTILIZANDO AÇO CA-60 DE 5,0 MM - MONTAGEM. AF_06/2022</t>
  </si>
  <si>
    <t>4.4</t>
  </si>
  <si>
    <t>ARMAÇÃO DE PILAR OU VIGA DE ESTRUTURA CONVENCIONAL DE CONCRETO ARMADO UTILIZANDO AÇO CA-50 DE 8,0 MM - MONTAGEM. AF_06/2022</t>
  </si>
  <si>
    <t>4.5</t>
  </si>
  <si>
    <t>ARMAÇÃO DE PILAR OU VIGA DE ESTRUTURA CONVENCIONAL DE CONCRETO ARMADO UTILIZANDO AÇO CA-50 DE 10,0 MM - MONTAGEM. AF_06/2022</t>
  </si>
  <si>
    <t>4.6</t>
  </si>
  <si>
    <t>4.7</t>
  </si>
  <si>
    <t>LAJE PRÉ-MOLDADA UNIDIRECIONAL, BIAPOIADA, PARA FORRO, ENCHIMENTO EM CERÂMICA, VIGOTA CONVENCIONAL, ALTURA TOTAL DA LAJE (ENCHIMENTO+CAPA) = (8+3). AF_11/2020_PA</t>
  </si>
  <si>
    <t>COBERTURAS</t>
  </si>
  <si>
    <t>TRAMA DE AÇO COMPOSTA POR TERÇAS PARA TELHADOS DE ATÉ 2 ÁGUAS PARA TELHA ONDULADA DE FIBROCIMENTO, METÁLICA, PLÁSTICA OU TERMOACÚSTICA, INCLUSO TRANSPORTE VERTICAL. AF_07/2019</t>
  </si>
  <si>
    <t>TELHAMENTO COM TELHA METÁLICA TERMOACÚSTICA E = 30 MM, COM ATÉ 2 ÁGUAS, INCLUSO IÇAMENTO. AF_07/2019</t>
  </si>
  <si>
    <t>RUFO EM CHAPA DE AÇO GALVANIZADO NÚMERO 24, CORTE DE 25 CM, INCLUSO TRANSPORTE VERTICAL. AF_07/2019</t>
  </si>
  <si>
    <t>CALHA EM CHAPA DE AÇO GALVANIZADO NÚMERO 24, DESENVOLVIMENTO DE 100 CM, INCLUSO TRANSPORTE VERTICAL. AF_07/2019</t>
  </si>
  <si>
    <t>CONCRETAGEM DE PILARES, FCK = 30 MPA, COM USO DE BOMBA - LANÇAMENTO, ADENSAMENTO E ACABAMENTO. AF_02/2022</t>
  </si>
  <si>
    <t xml:space="preserve">M3    </t>
  </si>
  <si>
    <t>1525</t>
  </si>
  <si>
    <t xml:space="preserve">CONCRETO USINADO BOMBEAVEL, CLASSE DE RESISTENCIA C30, BRITA 0 E 1, SLUMP = 100 +/- 20 MM, COM BOMBEAMENTO (DISPONIBILIZACAO DE BOMBA), SEM O LANCAMENTO (NBR 8953)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</si>
  <si>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1,1030000</t>
  </si>
  <si>
    <t>88262</t>
  </si>
  <si>
    <t>CARPINTEIRO DE FORMAS COM ENCARGOS COMPLEMENTARES</t>
  </si>
  <si>
    <t>0,2240000</t>
  </si>
  <si>
    <t>1,3450000</t>
  </si>
  <si>
    <t>0,0940000</t>
  </si>
  <si>
    <t>0,1300000</t>
  </si>
  <si>
    <t>CONCRETAGEM DE VIGAS E LAJES, FCK=30 MPA, PARA LAJES PREMOLDADAS COM USO DE BOMBA - LANÇAMENTO, ADENSAMENTO E ACABAMENTO. AF_02/2022</t>
  </si>
  <si>
    <t>0,1860000</t>
  </si>
  <si>
    <t>1,1190000</t>
  </si>
  <si>
    <t>1,1920000</t>
  </si>
  <si>
    <t>0,1940000</t>
  </si>
  <si>
    <t>0,1790000</t>
  </si>
  <si>
    <t>COMP013</t>
  </si>
  <si>
    <t>COMP014</t>
  </si>
  <si>
    <t>FUNDAÇÃO E SUPRAESTRUTURA</t>
  </si>
  <si>
    <t>ESTACAS (PROFUNDIDADE)</t>
  </si>
  <si>
    <t>ESCORAMENTO DE FÔRMAS DE LAJE EM MADEIRA NÃO APARELHADA, PÉ-DIREITO SIMPLES, INCLUSO TRAVAMENTO, 4 UTILIZAÇÕES. AF_09/2020</t>
  </si>
  <si>
    <t>Impermeabilização flexível à base polímeros acrílicos do piso (argamassa polimérica) - Aplicação de duas demãos cruzadas nas paredes - 5 primeiras fiadas da lavanderia</t>
  </si>
  <si>
    <t>BALDRAMES
FORMAS (M2)</t>
  </si>
  <si>
    <t>BALDRAMES
CONCRETO (M3)</t>
  </si>
  <si>
    <t>PILARES FORMAS (M2)</t>
  </si>
  <si>
    <t>BLOCOS CONCRETO (M3)</t>
  </si>
  <si>
    <t>BLOCOS FORMAS (M2)</t>
  </si>
  <si>
    <t>PILARES CONCRETO (M3)</t>
  </si>
  <si>
    <t>LAJE FORMA (M2)</t>
  </si>
  <si>
    <t>LAJE CONCRETO (M3)</t>
  </si>
  <si>
    <t>VIGAS DE RESPALDO
FORMAS (M2)</t>
  </si>
  <si>
    <t>VIGAS DE RESPALDO
CONCRETO (M3)</t>
  </si>
  <si>
    <t>ESTACA BROCA DE CONCRETO, DIÂMETRO DE 30CM, ESCAVAÇÃO MANUAL COM TRADO CONCHA, COM ARMADURA DE ARRANQUE, INCLUSO CONCRETAGEM FCK 20MPA. AF_05/2020</t>
  </si>
  <si>
    <t>4.1.1</t>
  </si>
  <si>
    <t>4.1.2</t>
  </si>
  <si>
    <t>SALA DA DIRETORIA GERAL</t>
  </si>
  <si>
    <t>BANHEIROS SALA DA DIRETORIA GERAL</t>
  </si>
  <si>
    <t>REMOÇÃO DE JANELAS, DE FORMA MANUAL, SEM REAPROVEITAMENTO. AF_09/2023</t>
  </si>
  <si>
    <t>INSTALAÇÕES AR CONDICIONADO</t>
  </si>
  <si>
    <t>TUBO, PVC, SOLDÁVEL, DN 25MM, INSTALADO EM RAMAL PARA DRENO DE AR CONDICIONADO - FORNECIMENTO E INSTALAÇÃO. AF_06/2022</t>
  </si>
  <si>
    <t>JOELHO 90 GRAUS, PVC, SOLDÁVEL, DN 25MM, INSTALADO  EM RAMAL PARA DRENO DE AR CONDICIONADO - FORNECIMENTO E INSTALAÇÃO. AF_06/2022</t>
  </si>
  <si>
    <t>3.1.12</t>
  </si>
  <si>
    <t>3.1.12.1</t>
  </si>
  <si>
    <t>3.1.12.2</t>
  </si>
  <si>
    <t>SUBTOTAL ITEM 3.1.12</t>
  </si>
  <si>
    <t>APLICAÇÃO DE PAPEL DE PAREDE - FORNECIMENTO E INSTALAÇÃO</t>
  </si>
  <si>
    <t>PINTOR COM ENCARGOS COMPLEMENTARES</t>
  </si>
  <si>
    <t>PAPEL DE PAREDE DE VINIL</t>
  </si>
  <si>
    <t>COMP015</t>
  </si>
  <si>
    <t>Soleira em granito boleado, com espessura de 2 cm e largura de 21 até 30 cm - acabamento polido (reposição de faixa no piso da sala</t>
  </si>
  <si>
    <t>REVESTIMENTO CERÂMICO PARA PISO COM PLACAS TIPO PORCELANATO DE DIMENSÕES 60X60 CM APLICADA EM AMBIENTES DE ÁREA MENOR QUE 5 M². AF_02/2023_PE
PORCELANATO COM ALTA RESISTÊNCIA MECÂNICA - PEI5 (REPOSIÇÃO DE PEÇA DO PISO)</t>
  </si>
  <si>
    <t>Trilho eletrificado com 1 circuito alimentação em alumínio, para instalação spots, pintura na preta</t>
  </si>
  <si>
    <t>04.63.44</t>
  </si>
  <si>
    <t>Plafon de sobrepor de 25 W fluxo lum. 1363 a 1800 lm, 220V, temper. de cor 4000 K, difusor prismático transparente</t>
  </si>
  <si>
    <t>Spot Para Trilho Eletrificado Preto Led 10w Bivolt</t>
  </si>
  <si>
    <t xml:space="preserve">FITA LED ECO IP20 4000K </t>
  </si>
  <si>
    <t>Spot Embutido Easy Led PAR20 7W Branco</t>
  </si>
  <si>
    <t>INTERRUPTOR SIMPLES (2 MÓDULOS), 10A/250V, INCLUINDO SUPORTE E PLACA - FORNECIMENTO E INSTALAÇÃO. AF_03/2023</t>
  </si>
  <si>
    <t>1.8.6</t>
  </si>
  <si>
    <t>SUBTOTAL ITEM 3.1.11</t>
  </si>
  <si>
    <t>SUBTOTAL ITEM 3.2.2</t>
  </si>
  <si>
    <t>SUBTOTAL ITEM 3.2.3</t>
  </si>
  <si>
    <t>SUBTOTAL ITEM 3.2.4</t>
  </si>
  <si>
    <t>SUBTOTAL ITEM 3.2.5</t>
  </si>
  <si>
    <t>SUBTOTAL ITEM 3.2.6</t>
  </si>
  <si>
    <t>SUBTOTAL ITEM 3.2.7</t>
  </si>
  <si>
    <t>SUBTOTAL ITEM 3.2.8</t>
  </si>
  <si>
    <t>SUBTOTAL ITEM 3.3.1</t>
  </si>
  <si>
    <t>SUBTOTAL ITEM 3.3.2</t>
  </si>
  <si>
    <t>SUBTOTAL ITEM 3.3.3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</si>
  <si>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</si>
  <si>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</si>
  <si>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</si>
  <si>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</si>
  <si>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</si>
  <si>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</si>
  <si>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</si>
  <si>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</si>
  <si>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SUBTOTAL ITEM 3.3.9</t>
  </si>
  <si>
    <t>SUBTOTAL ITEM 3.3.8</t>
  </si>
  <si>
    <t>SUBTOTAL ITEM 3.3.7</t>
  </si>
  <si>
    <t>SUBTOTAL ITEM 3.3.6</t>
  </si>
  <si>
    <t>SUBTOTAL ITEM 3.3.5</t>
  </si>
  <si>
    <t>SUBTOTAL ITEM 3.3.4</t>
  </si>
  <si>
    <t>3.3.2.1</t>
  </si>
  <si>
    <t>3.3.2.2</t>
  </si>
  <si>
    <t>3.3.2.3</t>
  </si>
  <si>
    <t>3.3.3.1</t>
  </si>
  <si>
    <t>3.3.3.2</t>
  </si>
  <si>
    <t>3.3.4.1</t>
  </si>
  <si>
    <t>3.3.4.2</t>
  </si>
  <si>
    <t>3.3.4.3</t>
  </si>
  <si>
    <t>3.3.4.4</t>
  </si>
  <si>
    <t>3.3.5.1</t>
  </si>
  <si>
    <t>3.3.5.2</t>
  </si>
  <si>
    <t>3.3.5.3</t>
  </si>
  <si>
    <t>3.3.5.4</t>
  </si>
  <si>
    <t>3.3.6.1</t>
  </si>
  <si>
    <t>3.3.6.2</t>
  </si>
  <si>
    <t>3.3.6.3</t>
  </si>
  <si>
    <t>3.3.6.4</t>
  </si>
  <si>
    <t>3.3.6.5</t>
  </si>
  <si>
    <t>3.3.6.6</t>
  </si>
  <si>
    <t>3.3.7.1</t>
  </si>
  <si>
    <t>3.3.7.2</t>
  </si>
  <si>
    <t>3.3.7.3</t>
  </si>
  <si>
    <t>3.3.7.4</t>
  </si>
  <si>
    <t>3.3.7.5</t>
  </si>
  <si>
    <t>3.3.7.6</t>
  </si>
  <si>
    <t>3.3.8.1</t>
  </si>
  <si>
    <t>3.3.8.2</t>
  </si>
  <si>
    <t>3.3.8.3</t>
  </si>
  <si>
    <t>3.3.8.4</t>
  </si>
  <si>
    <t>3.3.8.5</t>
  </si>
  <si>
    <t>3.3.8.6</t>
  </si>
  <si>
    <t>3.3.8.7</t>
  </si>
  <si>
    <t>3.3.8.8</t>
  </si>
  <si>
    <t>3.3.8.9</t>
  </si>
  <si>
    <t>3.3.9.1</t>
  </si>
  <si>
    <t>3.3.9.2</t>
  </si>
  <si>
    <t>3.3.9.3</t>
  </si>
  <si>
    <t>3.3.9.4</t>
  </si>
  <si>
    <t>3.3.9.5</t>
  </si>
  <si>
    <t>3.3.9.6</t>
  </si>
  <si>
    <t>3.3.9.7</t>
  </si>
  <si>
    <t>3.3.9.8</t>
  </si>
  <si>
    <t>3.3.9.9</t>
  </si>
  <si>
    <t>3.3.9.10</t>
  </si>
  <si>
    <t>3.3.9.11</t>
  </si>
  <si>
    <t>3.3.9.12</t>
  </si>
  <si>
    <t>3.3.9.13</t>
  </si>
  <si>
    <t>SUBTOTAL ITEM 4.1</t>
  </si>
  <si>
    <t>SUBTOTAL ITEM 4.2</t>
  </si>
  <si>
    <t>SUBTOTAL ITEM 4.3</t>
  </si>
  <si>
    <t>4.7.1</t>
  </si>
  <si>
    <t>4.7.2</t>
  </si>
  <si>
    <t>SUBTOTAL ITEM 4.7</t>
  </si>
  <si>
    <t>SUBTOTAL ITEM 4.6</t>
  </si>
  <si>
    <t>4.6.1</t>
  </si>
  <si>
    <t>4.5.1</t>
  </si>
  <si>
    <t>4.5.9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</si>
  <si>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</si>
  <si>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</si>
  <si>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</si>
  <si>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</si>
  <si>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</si>
  <si>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</si>
  <si>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</si>
  <si>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</si>
  <si>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</si>
  <si>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4.6.11</t>
  </si>
  <si>
    <t>4.6.12</t>
  </si>
  <si>
    <t>4.6.13</t>
  </si>
  <si>
    <t>4.6.14</t>
  </si>
  <si>
    <t>4.5.2</t>
  </si>
  <si>
    <t>4.5.3</t>
  </si>
  <si>
    <t>4.5.4</t>
  </si>
  <si>
    <t>4.5.5</t>
  </si>
  <si>
    <t>4.5.6</t>
  </si>
  <si>
    <t>4.5.7</t>
  </si>
  <si>
    <t>4.5.8</t>
  </si>
  <si>
    <t>4.4.1</t>
  </si>
  <si>
    <t>4.4.2</t>
  </si>
  <si>
    <t>4.4.3</t>
  </si>
  <si>
    <t>4.3.1</t>
  </si>
  <si>
    <t>4.2.1</t>
  </si>
  <si>
    <t>4.2.2</t>
  </si>
  <si>
    <t>4.2.3</t>
  </si>
  <si>
    <t>4.1.3</t>
  </si>
  <si>
    <t>4.1.4</t>
  </si>
  <si>
    <t>4.1.5</t>
  </si>
  <si>
    <t>4.1.6</t>
  </si>
  <si>
    <t>4.1.7</t>
  </si>
  <si>
    <t>SUBTOTAL ITEM 4.4</t>
  </si>
  <si>
    <t>SUBTOTAL ITEM 4.5</t>
  </si>
  <si>
    <t>SUBTOTAL ITEM 5.2.2</t>
  </si>
  <si>
    <t>SUBTOTAL ITEM 5.3.2</t>
  </si>
  <si>
    <t>5.3.2</t>
  </si>
  <si>
    <t>5.3.4</t>
  </si>
  <si>
    <t>5.3.5</t>
  </si>
  <si>
    <t>SUBTOTAL ITEM 5.3.4</t>
  </si>
  <si>
    <t>SUBTOTAL ITEM 5.3.3</t>
  </si>
  <si>
    <t>5.3.3</t>
  </si>
  <si>
    <t>SUBTOTAL ITEM 5.3.5</t>
  </si>
  <si>
    <t>5.3.6</t>
  </si>
  <si>
    <t>SUBTOTAL ITEM 5.3.6</t>
  </si>
  <si>
    <t>5.3.7</t>
  </si>
  <si>
    <t>5.3.8</t>
  </si>
  <si>
    <t>5.3.9</t>
  </si>
  <si>
    <t>5.3.10</t>
  </si>
  <si>
    <t>5.3.11</t>
  </si>
  <si>
    <t>5.3.12</t>
  </si>
  <si>
    <t>SUBTOTAL ITEM 5.3.12</t>
  </si>
  <si>
    <t>SUBTOTAL ITEM 5.3.11</t>
  </si>
  <si>
    <t>SUBTOTAL ITEM 5.3.10</t>
  </si>
  <si>
    <t>SUBTOTAL ITEM 5.3.9</t>
  </si>
  <si>
    <t>SUBTOTAL ITEM 5.3.8</t>
  </si>
  <si>
    <t>SUBTOTAL ITEM 5.3.7</t>
  </si>
  <si>
    <t>5.3.1.1</t>
  </si>
  <si>
    <t>5.3.1.2</t>
  </si>
  <si>
    <t>5.3.1.3</t>
  </si>
  <si>
    <t>5.3.2.1</t>
  </si>
  <si>
    <t>5.3.2.2</t>
  </si>
  <si>
    <t>5.3.2.3</t>
  </si>
  <si>
    <t>5.3.2.4</t>
  </si>
  <si>
    <t>5.3.2.5</t>
  </si>
  <si>
    <t>5.3.2.6</t>
  </si>
  <si>
    <t>5.3.2.7</t>
  </si>
  <si>
    <t>5.3.2.8</t>
  </si>
  <si>
    <t>5.3.2.9</t>
  </si>
  <si>
    <t>5.3.2.10</t>
  </si>
  <si>
    <t>5.3.2.11</t>
  </si>
  <si>
    <t>5.3.2.12</t>
  </si>
  <si>
    <t>5.3.3.1</t>
  </si>
  <si>
    <t>5.3.3.2</t>
  </si>
  <si>
    <t>5.3.3.3</t>
  </si>
  <si>
    <t>5.3.3.4</t>
  </si>
  <si>
    <t>5.3.3.5</t>
  </si>
  <si>
    <t>5.3.3.6</t>
  </si>
  <si>
    <t>5.3.3.7</t>
  </si>
  <si>
    <t>5.3.3.8</t>
  </si>
  <si>
    <t>5.3.3.9</t>
  </si>
  <si>
    <t>5.3.4.1</t>
  </si>
  <si>
    <t>5.3.4.2</t>
  </si>
  <si>
    <t>5.3.4.3</t>
  </si>
  <si>
    <t>5.3.4.4</t>
  </si>
  <si>
    <t>5.3.5.1</t>
  </si>
  <si>
    <t>5.3.5.2</t>
  </si>
  <si>
    <t>5.3.5.3</t>
  </si>
  <si>
    <t>5.3.5.4</t>
  </si>
  <si>
    <t>5.3.5.5</t>
  </si>
  <si>
    <t>5.3.5.6</t>
  </si>
  <si>
    <t>5.3.5.7</t>
  </si>
  <si>
    <t>5.3.5.8</t>
  </si>
  <si>
    <t>5.3.5.9</t>
  </si>
  <si>
    <t>5.3.6.1</t>
  </si>
  <si>
    <t>5.3.6.2</t>
  </si>
  <si>
    <t>5.3.6.3</t>
  </si>
  <si>
    <t>5.3.7.1</t>
  </si>
  <si>
    <t>5.3.7.2</t>
  </si>
  <si>
    <t>5.3.7.3</t>
  </si>
  <si>
    <t>5.3.7.4</t>
  </si>
  <si>
    <t>5.3.7.5</t>
  </si>
  <si>
    <t>5.3.8.1</t>
  </si>
  <si>
    <t>5.3.8.2</t>
  </si>
  <si>
    <t>5.3.9.1</t>
  </si>
  <si>
    <t>5.3.9.2</t>
  </si>
  <si>
    <t>5.3.9.3</t>
  </si>
  <si>
    <t>5.3.9.4</t>
  </si>
  <si>
    <t>5.3.10.1</t>
  </si>
  <si>
    <t>5.3.10.2</t>
  </si>
  <si>
    <t>5.3.10.3</t>
  </si>
  <si>
    <t>5.3.10.4</t>
  </si>
  <si>
    <t>5.3.10.5</t>
  </si>
  <si>
    <t>5.3.10.6</t>
  </si>
  <si>
    <t>5.3.11.1</t>
  </si>
  <si>
    <t>5.3.11.2</t>
  </si>
  <si>
    <t>5.3.12.1</t>
  </si>
  <si>
    <t>5.3.12.2</t>
  </si>
  <si>
    <t>5.3.12.3</t>
  </si>
  <si>
    <t>5.3.12.4</t>
  </si>
  <si>
    <t>5.3.12.5</t>
  </si>
  <si>
    <t>5.3.12.6</t>
  </si>
  <si>
    <t>5.3.12.7</t>
  </si>
  <si>
    <t>5.3.12.8</t>
  </si>
  <si>
    <t>5.3.12.9</t>
  </si>
  <si>
    <t>5.3.12.10</t>
  </si>
  <si>
    <t>5.3.12.11</t>
  </si>
  <si>
    <t>5.3.13</t>
  </si>
  <si>
    <t>SUBTOTAL ITEM 5.3.13</t>
  </si>
  <si>
    <t>SUBTOTAL ITEM 5.3.14</t>
  </si>
  <si>
    <t>5.3.14</t>
  </si>
  <si>
    <t>5.3.14.1</t>
  </si>
  <si>
    <t>5.3.14.2</t>
  </si>
  <si>
    <t>5.3.14.3</t>
  </si>
  <si>
    <t>5.3.14.4</t>
  </si>
  <si>
    <t>5.3.14.5</t>
  </si>
  <si>
    <t>5.3.14.6</t>
  </si>
  <si>
    <t>5.3.14.7</t>
  </si>
  <si>
    <t>5.3.14.8</t>
  </si>
  <si>
    <t>5.3.14.9</t>
  </si>
  <si>
    <t>5.3.14.10</t>
  </si>
  <si>
    <t>5.3.14.11</t>
  </si>
  <si>
    <t>5.3.13.1</t>
  </si>
  <si>
    <t>5.3.13.2</t>
  </si>
  <si>
    <t>5.3.12.12</t>
  </si>
  <si>
    <t>5.3.12.13</t>
  </si>
  <si>
    <t>5.3.11.3</t>
  </si>
  <si>
    <t>5.3.11.4</t>
  </si>
  <si>
    <t>5.3.11.5</t>
  </si>
  <si>
    <t>5.3.11.6</t>
  </si>
  <si>
    <t>5.3.10.7</t>
  </si>
  <si>
    <t>5.3.10.8</t>
  </si>
  <si>
    <t>5.3.12.14</t>
  </si>
  <si>
    <t>CÂMARA MUNICIPAL DE INDAIATUBA</t>
  </si>
  <si>
    <t>Porta do Hall - Alumínio com vidro
1,50 x 2,10 m</t>
  </si>
  <si>
    <t>Porta do Hall - Alumínio com vidro
0,80 x 2,10 m</t>
  </si>
  <si>
    <t>02 Portas de abrir em alumínio 0,80 X 2,10 M - com pintura eletrostática, sob medida, instalada - sem vidro</t>
  </si>
  <si>
    <t>Portas de abrir em alumínio 1,50 X 2,10 M - com pintura eletrostática, sob medida, instalada - sem vidro</t>
  </si>
  <si>
    <t>5.3.9.5</t>
  </si>
  <si>
    <t>VALOR ACUMULADO (R$)</t>
  </si>
  <si>
    <t>PORCENTAGEM (%)</t>
  </si>
  <si>
    <t>PORCENTAGEM ACUMULADA (%)</t>
  </si>
  <si>
    <t>A</t>
  </si>
  <si>
    <t>C</t>
  </si>
  <si>
    <t>B</t>
  </si>
  <si>
    <t>CLASSIFICAÇÃO</t>
  </si>
  <si>
    <t>3.1.2.5</t>
  </si>
  <si>
    <t>3.1.4.5</t>
  </si>
  <si>
    <t>02.15.48</t>
  </si>
  <si>
    <t>04.50.75</t>
  </si>
  <si>
    <t>TABELA RESUMO - CURVA ABC</t>
  </si>
  <si>
    <t>CURVA ABC DE SERVIÇOS - REFORMA DA CÂMARA DE INDAIATUBA - SP</t>
  </si>
  <si>
    <t>CABO DE COBRE FLEXÍVEL ISOLADO, 1,5 MM², ANTI-CHAMA 0,6/1,0 KV, PARA CIRCUITOS TERMINAIS - FORNECIMENTO E INSTALAÇÃO. AF_03/2023 (CABO TIPO NÃO HALOGENADO)</t>
  </si>
  <si>
    <t>CABO DE COBRE FLEXÍVEL ISOLADO, 2,5 MM², ANTI-CHAMA 0,6/1,0 KV, PARA CIRCUITOS TERMINAIS - FORNECIMENTO E INSTALAÇÃO. AF_03/2023 (CABO TIPO NÃO HALOGENADO)</t>
  </si>
  <si>
    <t>CABO DE COBRE FLEXÍVEL ISOLADO, 4 MM², ANTI-CHAMA 0,6/1,0 KV, PARA CIRCUITOS TERMINAIS - FORNECIMENTO E INSTALAÇÃO. AF_03/2023 (CABO TIPO NÃO HALOGENADO) - LIGAÇÃO AR CONDICIONADO</t>
  </si>
  <si>
    <t>CABO DE COBRE FLEXÍVEL ISOLADO, 10 MM², ANTI-CHAMA 0,6/1,0 KV, PARA CIRCUITOS TERMINAIS - FORNECIMENTO E INSTALAÇÃO. AF_03/2023 (CABO TIPO NÃO HALOGENADO) - CABO PARA ALIMENTAÇÃO DO QUADRO DE DISTRIBUIÇÃO</t>
  </si>
  <si>
    <t>CABO DE COBRE FLEXÍVEL ISOLADO, 1,5 MM², ANTI-CHAMA 0,6/1,0 KV, PARA CIRCUITOS TERMINAIS - FORNECIMENTO E INSTALAÇÃO. AF_03/2023 - (CABO TIPO NÃO HALOGENADO)</t>
  </si>
  <si>
    <t>CABO DE COBRE FLEXÍVEL ISOLADO, 2,5 MM², ANTI-CHAMA 0,6/1,0 KV, PARA CIRCUITOS TERMINAIS - FORNECIMENTO E INSTALAÇÃO. AF_03/2023 - (CABO TIPO NÃO HALOGENADO)</t>
  </si>
  <si>
    <t>MARCAÇÃO DE VAGAS COM TINTA EPOXI</t>
  </si>
  <si>
    <t>CABO DE COBRE FLEXÍVEL ISOLADO, 10 MM², ANTI-CHAMA 0,6/1,0 KV, PARA CIRCUITOS TERMINAIS - FORNECIMENTO E INSTALAÇÃO. AF_03/2023 (CABO TIPO NÃO HALOGENADO)</t>
  </si>
  <si>
    <t>LIMPEZA DE SUPERFÍCIE COM JATO DE ALTA PRESSÃO. AF_04/2019 (LIMPEZA APÓS FINALIZAÇÃO DOS SERVIÇOS DE EPOXI PARA INICIAR DEMARCAÇÃO DE PISO)</t>
  </si>
  <si>
    <t>Os quantitativos descritos abaixo foram levantandos tendo como referência os projetos arquitetônicos fornecidos pela Câmara Municipal de Indaiatuba - SP.</t>
  </si>
  <si>
    <t>Resumo Valores por Etapas</t>
  </si>
  <si>
    <t>Item</t>
  </si>
  <si>
    <t>Descrição</t>
  </si>
  <si>
    <t>Valor Total</t>
  </si>
  <si>
    <t>SINAPI SP 08/2024 (Desonerado)
CDH SP 05/2024</t>
  </si>
  <si>
    <t>REINSTALAÇÃO DE PORTÃO DE FERRO DE CORRER - INCLUSO TROCA DOS TRILHOS E BATENTE</t>
  </si>
  <si>
    <t>Uberlândia, 21 de setembro de 2024.</t>
  </si>
  <si>
    <t>5.1.3.2</t>
  </si>
  <si>
    <t>5.1.7</t>
  </si>
  <si>
    <t>5.1.3.3</t>
  </si>
  <si>
    <t>5.1.3.4</t>
  </si>
  <si>
    <t>5.1.3.5</t>
  </si>
  <si>
    <t>COLCHÃO DE PÓ DE BRITA  PARA PAVIMENTAÇÃO EM BLOCOS DE CONCRETO INTERTRAVADO E REJUNTAMENTO</t>
  </si>
  <si>
    <t>EXECUÇÃO DE PISO INTERTRAVADO, COR NATURAL, COM BLOCO RETANGULAR 20 X 10 CM, ESPESSURA DE 8 CM</t>
  </si>
  <si>
    <t>COMP016</t>
  </si>
  <si>
    <t>CHAPIM PRÉ-MOLDADO DE CONCRETO - 100CM X 20 CM X 2 CM</t>
  </si>
  <si>
    <t>ARGAMASSA TRAÇO 1:6 (EM VOLUME DE CIMENTO E AREIA MÉDIA ÚMIDA) COM ADIÇÃO DE PLASTIFICANTE PARA EMBOÇO/MASSA ÚNICA/ASSENTAMENTO DE ALVENARIA DE VEDAÇÃO, PREPARO MECÂNICO COM BETONEIRA 400 L. AF_08/2019</t>
  </si>
  <si>
    <t>SERRA CIRCULAR DE BANCADA COM MOTOR ELÉTRICO POTÊNCIA DE 5HP, COM COIFA PARA DISCO 10" - CHP DIURNO. AF_08/2015</t>
  </si>
  <si>
    <t>SERRA CIRCULAR DE BANCADA COM MOTOR ELÉTRICO POTÊNCIA DE 5HP, COM COIFA PARA DISCO 10" - CHI DIURNO. AF_08/2015</t>
  </si>
  <si>
    <t>87283</t>
  </si>
  <si>
    <t>91692</t>
  </si>
  <si>
    <t>91693</t>
  </si>
  <si>
    <t>ASSENTAMENTO DE CHAPIM PRÉ MOLDADO SOB MURO DE DIVISA, INCLUSO FORNECIMENTO</t>
  </si>
  <si>
    <t>5.1.8</t>
  </si>
  <si>
    <t>5.1.9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</si>
  <si>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</si>
  <si>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</si>
  <si>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</si>
  <si>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</si>
  <si>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</si>
  <si>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</si>
  <si>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</si>
  <si>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</si>
  <si>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</si>
  <si>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</si>
  <si>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5.1.3.6</t>
  </si>
  <si>
    <t>5.1.3.7</t>
  </si>
  <si>
    <t>5.1.7.1</t>
  </si>
  <si>
    <t>5.1.7.2</t>
  </si>
  <si>
    <t>5.1.7.3</t>
  </si>
  <si>
    <t>5.1.8.1</t>
  </si>
  <si>
    <t>5.1.8.2</t>
  </si>
  <si>
    <t>5.1.8.3</t>
  </si>
  <si>
    <t>5.1.8.4</t>
  </si>
  <si>
    <t>5.1.8.5</t>
  </si>
  <si>
    <t>5.1.8.6</t>
  </si>
  <si>
    <t>5.1.9.1</t>
  </si>
  <si>
    <t>5.1.9.2</t>
  </si>
  <si>
    <t>5.1.9.3</t>
  </si>
  <si>
    <t>5.1.9.4</t>
  </si>
  <si>
    <t>SUBTOTAL ITEM 5.1.7</t>
  </si>
  <si>
    <t>SUBTOTAL ITEM 5.1.8</t>
  </si>
  <si>
    <t>SUBTOTAL ITEM 5.1.9</t>
  </si>
  <si>
    <t>TABELA DE COMPOSIÇÕES ANALÍTICAS</t>
  </si>
  <si>
    <t>XXXXXX, XX de XXXXXX de 2024</t>
  </si>
  <si>
    <t>CNPJ:</t>
  </si>
  <si>
    <t>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</si>
</sst>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&quot; (&quot;#,##0.00&quot;)&quot;;&quot; -&quot;#&quot; &quot;;@&quot; &quot;"/>
    <numFmt numFmtId="165" formatCode="_(* #,##0.00_);_(* \(#,##0.00\);_(* &quot;-&quot;??_);_(@_)"/>
    <numFmt numFmtId="166" formatCode="0.0000000"/>
    <numFmt numFmtId="167" formatCode="_(* #,##0.00_);_(* \(#,##0.00\);_(* \-??_);_(@_)"/>
    <numFmt numFmtId="168" formatCode="0.000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i/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8"/>
      <color indexed="8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b/>
      <sz val="14"/>
      <color indexed="8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ourier New"/>
      <family val="3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9" fillId="0" borderId="0" applyBorder="0" applyProtection="0"/>
    <xf numFmtId="0" fontId="10" fillId="0" borderId="0" applyNumberFormat="0" applyBorder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167" fontId="5" fillId="0" borderId="0" applyFill="0" applyBorder="0" applyAlignment="0" applyProtection="0"/>
  </cellStyleXfs>
  <cellXfs count="41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10" fontId="3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3" fontId="17" fillId="0" borderId="0" xfId="1" applyFont="1" applyFill="1" applyBorder="1" applyAlignment="1" applyProtection="1">
      <alignment vertical="center" wrapText="1"/>
    </xf>
    <xf numFmtId="43" fontId="18" fillId="0" borderId="0" xfId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5" fillId="0" borderId="0" xfId="3" applyAlignment="1">
      <alignment horizontal="left" vertical="center"/>
    </xf>
    <xf numFmtId="0" fontId="5" fillId="0" borderId="0" xfId="3" applyAlignment="1">
      <alignment vertical="center"/>
    </xf>
    <xf numFmtId="44" fontId="19" fillId="3" borderId="13" xfId="7" applyFont="1" applyFill="1" applyBorder="1" applyAlignment="1">
      <alignment vertical="center"/>
    </xf>
    <xf numFmtId="44" fontId="19" fillId="3" borderId="26" xfId="7" applyFont="1" applyFill="1" applyBorder="1" applyAlignment="1">
      <alignment vertical="center"/>
    </xf>
    <xf numFmtId="0" fontId="28" fillId="0" borderId="0" xfId="8" applyAlignment="1">
      <alignment vertical="center"/>
    </xf>
    <xf numFmtId="0" fontId="4" fillId="0" borderId="0" xfId="8" applyFont="1" applyAlignment="1">
      <alignment horizontal="center" vertical="center"/>
    </xf>
    <xf numFmtId="0" fontId="28" fillId="0" borderId="10" xfId="8" applyBorder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horizontal="left" vertical="center" wrapText="1"/>
    </xf>
    <xf numFmtId="0" fontId="8" fillId="0" borderId="0" xfId="8" applyFont="1" applyAlignment="1">
      <alignment horizontal="center" vertical="center"/>
    </xf>
    <xf numFmtId="0" fontId="28" fillId="0" borderId="22" xfId="8" applyBorder="1" applyAlignment="1">
      <alignment vertical="center"/>
    </xf>
    <xf numFmtId="0" fontId="28" fillId="0" borderId="9" xfId="8" applyBorder="1" applyAlignment="1">
      <alignment vertical="center"/>
    </xf>
    <xf numFmtId="0" fontId="23" fillId="3" borderId="14" xfId="8" applyFont="1" applyFill="1" applyBorder="1" applyAlignment="1">
      <alignment horizontal="center" vertical="center"/>
    </xf>
    <xf numFmtId="0" fontId="23" fillId="2" borderId="16" xfId="8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vertical="center" wrapText="1"/>
    </xf>
    <xf numFmtId="165" fontId="4" fillId="0" borderId="0" xfId="9" applyFont="1" applyFill="1" applyBorder="1" applyAlignment="1" applyProtection="1">
      <alignment horizontal="right" vertical="center"/>
    </xf>
    <xf numFmtId="10" fontId="19" fillId="3" borderId="24" xfId="10" applyNumberFormat="1" applyFont="1" applyFill="1" applyBorder="1" applyAlignment="1">
      <alignment vertical="center"/>
    </xf>
    <xf numFmtId="4" fontId="27" fillId="3" borderId="13" xfId="8" applyNumberFormat="1" applyFont="1" applyFill="1" applyBorder="1" applyAlignment="1">
      <alignment vertical="center"/>
    </xf>
    <xf numFmtId="4" fontId="27" fillId="2" borderId="19" xfId="8" applyNumberFormat="1" applyFont="1" applyFill="1" applyBorder="1" applyAlignment="1">
      <alignment vertical="center"/>
    </xf>
    <xf numFmtId="10" fontId="19" fillId="3" borderId="13" xfId="10" applyNumberFormat="1" applyFont="1" applyFill="1" applyBorder="1" applyAlignment="1">
      <alignment vertical="center"/>
    </xf>
    <xf numFmtId="4" fontId="27" fillId="3" borderId="26" xfId="8" applyNumberFormat="1" applyFont="1" applyFill="1" applyBorder="1" applyAlignment="1">
      <alignment vertical="center"/>
    </xf>
    <xf numFmtId="4" fontId="27" fillId="2" borderId="21" xfId="8" applyNumberFormat="1" applyFont="1" applyFill="1" applyBorder="1" applyAlignment="1">
      <alignment vertical="center"/>
    </xf>
    <xf numFmtId="0" fontId="3" fillId="0" borderId="0" xfId="8" applyFont="1" applyAlignment="1">
      <alignment vertical="center"/>
    </xf>
    <xf numFmtId="165" fontId="3" fillId="0" borderId="0" xfId="9" applyFont="1" applyFill="1" applyBorder="1" applyAlignment="1" applyProtection="1">
      <alignment horizontal="center" vertical="center"/>
    </xf>
    <xf numFmtId="0" fontId="6" fillId="0" borderId="0" xfId="8" applyFont="1" applyAlignment="1">
      <alignment vertical="center"/>
    </xf>
    <xf numFmtId="0" fontId="26" fillId="0" borderId="23" xfId="8" applyFont="1" applyBorder="1" applyAlignment="1">
      <alignment horizontal="center" vertical="center"/>
    </xf>
    <xf numFmtId="0" fontId="5" fillId="0" borderId="22" xfId="3" applyBorder="1" applyAlignment="1">
      <alignment horizontal="center" vertical="center"/>
    </xf>
    <xf numFmtId="0" fontId="5" fillId="0" borderId="22" xfId="3" applyBorder="1" applyAlignment="1">
      <alignment vertical="center"/>
    </xf>
    <xf numFmtId="0" fontId="25" fillId="0" borderId="6" xfId="8" applyFont="1" applyBorder="1" applyAlignment="1">
      <alignment horizontal="left" vertical="center"/>
    </xf>
    <xf numFmtId="0" fontId="25" fillId="0" borderId="0" xfId="8" applyFont="1" applyAlignment="1">
      <alignment horizontal="left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0" fontId="14" fillId="3" borderId="1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43" fontId="30" fillId="3" borderId="27" xfId="1" applyFont="1" applyFill="1" applyBorder="1" applyAlignment="1" applyProtection="1">
      <alignment horizontal="center" vertical="center"/>
    </xf>
    <xf numFmtId="43" fontId="30" fillId="3" borderId="18" xfId="1" applyFont="1" applyFill="1" applyBorder="1" applyAlignment="1" applyProtection="1">
      <alignment horizontal="center" vertical="center" wrapText="1"/>
    </xf>
    <xf numFmtId="43" fontId="30" fillId="3" borderId="15" xfId="1" applyFont="1" applyFill="1" applyBorder="1" applyAlignment="1" applyProtection="1">
      <alignment horizontal="center" vertical="center" wrapText="1"/>
    </xf>
    <xf numFmtId="43" fontId="30" fillId="3" borderId="16" xfId="1" applyFont="1" applyFill="1" applyBorder="1" applyAlignment="1" applyProtection="1">
      <alignment horizontal="center" vertical="center"/>
    </xf>
    <xf numFmtId="14" fontId="31" fillId="3" borderId="13" xfId="0" applyNumberFormat="1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vertical="center"/>
    </xf>
    <xf numFmtId="4" fontId="22" fillId="4" borderId="1" xfId="1" applyNumberFormat="1" applyFont="1" applyFill="1" applyBorder="1" applyAlignment="1">
      <alignment vertical="center"/>
    </xf>
    <xf numFmtId="4" fontId="21" fillId="4" borderId="1" xfId="1" applyNumberFormat="1" applyFont="1" applyFill="1" applyBorder="1" applyAlignment="1">
      <alignment vertical="center"/>
    </xf>
    <xf numFmtId="4" fontId="21" fillId="4" borderId="1" xfId="3" applyNumberFormat="1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43" fontId="30" fillId="0" borderId="0" xfId="1" applyFont="1" applyFill="1" applyBorder="1" applyAlignment="1" applyProtection="1">
      <alignment horizontal="center" vertical="center"/>
    </xf>
    <xf numFmtId="43" fontId="30" fillId="0" borderId="0" xfId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1" fillId="3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0" borderId="7" xfId="0" applyFont="1" applyBorder="1" applyAlignment="1">
      <alignment horizontal="left" vertical="center"/>
    </xf>
    <xf numFmtId="0" fontId="32" fillId="0" borderId="7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0" fillId="7" borderId="0" xfId="11" applyFont="1" applyFill="1" applyAlignment="1">
      <alignment horizontal="center" vertical="center"/>
    </xf>
    <xf numFmtId="49" fontId="30" fillId="7" borderId="0" xfId="11" applyNumberFormat="1" applyFont="1" applyFill="1" applyAlignment="1">
      <alignment horizontal="center" vertical="center"/>
    </xf>
    <xf numFmtId="0" fontId="30" fillId="7" borderId="0" xfId="11" applyFont="1" applyFill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0" fontId="12" fillId="5" borderId="8" xfId="2" applyNumberFormat="1" applyFont="1" applyFill="1" applyBorder="1" applyAlignment="1">
      <alignment horizontal="center" vertical="center" wrapText="1"/>
    </xf>
    <xf numFmtId="10" fontId="12" fillId="5" borderId="1" xfId="2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5" fillId="5" borderId="1" xfId="8" applyFont="1" applyFill="1" applyBorder="1" applyAlignment="1">
      <alignment vertical="center" wrapText="1"/>
    </xf>
    <xf numFmtId="165" fontId="17" fillId="5" borderId="1" xfId="9" applyFont="1" applyFill="1" applyBorder="1" applyAlignment="1" applyProtection="1">
      <alignment horizontal="center" vertical="center"/>
    </xf>
    <xf numFmtId="0" fontId="21" fillId="0" borderId="5" xfId="3" applyFont="1" applyBorder="1" applyAlignment="1">
      <alignment horizontal="center" vertical="center" wrapText="1"/>
    </xf>
    <xf numFmtId="0" fontId="21" fillId="0" borderId="5" xfId="3" applyFont="1" applyBorder="1" applyAlignment="1">
      <alignment vertical="center" wrapText="1"/>
    </xf>
    <xf numFmtId="4" fontId="21" fillId="0" borderId="5" xfId="3" applyNumberFormat="1" applyFont="1" applyBorder="1" applyAlignment="1">
      <alignment horizontal="center" vertical="center" wrapText="1"/>
    </xf>
    <xf numFmtId="4" fontId="22" fillId="0" borderId="5" xfId="1" applyNumberFormat="1" applyFont="1" applyFill="1" applyBorder="1" applyAlignment="1">
      <alignment vertical="center" wrapText="1"/>
    </xf>
    <xf numFmtId="4" fontId="21" fillId="0" borderId="5" xfId="3" applyNumberFormat="1" applyFont="1" applyBorder="1" applyAlignment="1">
      <alignment vertical="center" wrapText="1"/>
    </xf>
    <xf numFmtId="0" fontId="25" fillId="5" borderId="1" xfId="3" applyFont="1" applyFill="1" applyBorder="1" applyAlignment="1">
      <alignment horizontal="center" vertical="center"/>
    </xf>
    <xf numFmtId="10" fontId="25" fillId="5" borderId="1" xfId="10" applyNumberFormat="1" applyFont="1" applyFill="1" applyBorder="1" applyAlignment="1">
      <alignment vertical="center"/>
    </xf>
    <xf numFmtId="2" fontId="26" fillId="5" borderId="1" xfId="10" applyNumberFormat="1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8" fillId="0" borderId="23" xfId="8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" fontId="25" fillId="5" borderId="1" xfId="8" applyNumberFormat="1" applyFont="1" applyFill="1" applyBorder="1" applyAlignment="1">
      <alignment vertical="center" wrapText="1"/>
    </xf>
    <xf numFmtId="43" fontId="24" fillId="0" borderId="0" xfId="1" applyFont="1" applyFill="1" applyBorder="1" applyAlignment="1" applyProtection="1">
      <alignment vertical="center"/>
    </xf>
    <xf numFmtId="43" fontId="17" fillId="0" borderId="0" xfId="1" applyFont="1" applyFill="1" applyBorder="1" applyAlignment="1" applyProtection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38" fillId="4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36" fillId="4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vertical="center"/>
    </xf>
    <xf numFmtId="0" fontId="21" fillId="8" borderId="0" xfId="3" applyFont="1" applyFill="1" applyAlignment="1">
      <alignment horizontal="center" vertical="center"/>
    </xf>
    <xf numFmtId="0" fontId="21" fillId="8" borderId="0" xfId="3" applyFont="1" applyFill="1" applyAlignment="1">
      <alignment vertical="center"/>
    </xf>
    <xf numFmtId="4" fontId="22" fillId="8" borderId="0" xfId="1" applyNumberFormat="1" applyFont="1" applyFill="1" applyBorder="1" applyAlignment="1">
      <alignment vertical="center"/>
    </xf>
    <xf numFmtId="4" fontId="21" fillId="8" borderId="0" xfId="1" applyNumberFormat="1" applyFont="1" applyFill="1" applyBorder="1" applyAlignment="1">
      <alignment vertical="center"/>
    </xf>
    <xf numFmtId="4" fontId="21" fillId="8" borderId="0" xfId="3" applyNumberFormat="1" applyFont="1" applyFill="1" applyAlignment="1">
      <alignment vertical="center"/>
    </xf>
    <xf numFmtId="0" fontId="21" fillId="4" borderId="31" xfId="3" applyFont="1" applyFill="1" applyBorder="1" applyAlignment="1">
      <alignment horizontal="center" vertical="center"/>
    </xf>
    <xf numFmtId="0" fontId="21" fillId="4" borderId="31" xfId="3" applyFont="1" applyFill="1" applyBorder="1" applyAlignment="1">
      <alignment vertical="center"/>
    </xf>
    <xf numFmtId="4" fontId="22" fillId="4" borderId="31" xfId="1" applyNumberFormat="1" applyFont="1" applyFill="1" applyBorder="1" applyAlignment="1">
      <alignment vertical="center"/>
    </xf>
    <xf numFmtId="4" fontId="21" fillId="4" borderId="31" xfId="1" applyNumberFormat="1" applyFont="1" applyFill="1" applyBorder="1" applyAlignment="1">
      <alignment vertical="center"/>
    </xf>
    <xf numFmtId="4" fontId="21" fillId="4" borderId="31" xfId="3" applyNumberFormat="1" applyFont="1" applyFill="1" applyBorder="1" applyAlignment="1">
      <alignment vertical="center"/>
    </xf>
    <xf numFmtId="0" fontId="22" fillId="5" borderId="1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left" vertical="center" wrapText="1"/>
    </xf>
    <xf numFmtId="0" fontId="22" fillId="5" borderId="1" xfId="5" applyNumberFormat="1" applyFont="1" applyFill="1" applyBorder="1" applyAlignment="1">
      <alignment horizontal="center" vertical="center" wrapText="1"/>
    </xf>
    <xf numFmtId="0" fontId="22" fillId="5" borderId="1" xfId="5" quotePrefix="1" applyNumberFormat="1" applyFont="1" applyFill="1" applyBorder="1" applyAlignment="1">
      <alignment horizontal="center" vertical="center" wrapText="1"/>
    </xf>
    <xf numFmtId="49" fontId="22" fillId="5" borderId="1" xfId="3" applyNumberFormat="1" applyFont="1" applyFill="1" applyBorder="1" applyAlignment="1">
      <alignment vertical="center" wrapText="1"/>
    </xf>
    <xf numFmtId="49" fontId="22" fillId="5" borderId="1" xfId="3" applyNumberFormat="1" applyFont="1" applyFill="1" applyBorder="1" applyAlignment="1">
      <alignment horizontal="center" vertical="center" wrapText="1"/>
    </xf>
    <xf numFmtId="4" fontId="22" fillId="5" borderId="1" xfId="1" applyNumberFormat="1" applyFont="1" applyFill="1" applyBorder="1" applyAlignment="1">
      <alignment horizontal="right" vertical="center" wrapText="1"/>
    </xf>
    <xf numFmtId="4" fontId="22" fillId="5" borderId="1" xfId="3" applyNumberFormat="1" applyFont="1" applyFill="1" applyBorder="1" applyAlignment="1">
      <alignment vertical="center"/>
    </xf>
    <xf numFmtId="0" fontId="22" fillId="5" borderId="1" xfId="3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43" fontId="22" fillId="5" borderId="1" xfId="3" applyNumberFormat="1" applyFont="1" applyFill="1" applyBorder="1" applyAlignment="1">
      <alignment horizontal="left" vertical="center" wrapText="1"/>
    </xf>
    <xf numFmtId="0" fontId="22" fillId="5" borderId="31" xfId="3" applyFont="1" applyFill="1" applyBorder="1" applyAlignment="1">
      <alignment horizontal="center" vertical="center" wrapText="1"/>
    </xf>
    <xf numFmtId="0" fontId="22" fillId="5" borderId="31" xfId="5" applyNumberFormat="1" applyFont="1" applyFill="1" applyBorder="1" applyAlignment="1">
      <alignment horizontal="center" vertical="center" wrapText="1"/>
    </xf>
    <xf numFmtId="49" fontId="22" fillId="5" borderId="31" xfId="3" applyNumberFormat="1" applyFont="1" applyFill="1" applyBorder="1" applyAlignment="1">
      <alignment vertical="center" wrapText="1"/>
    </xf>
    <xf numFmtId="49" fontId="22" fillId="5" borderId="31" xfId="3" applyNumberFormat="1" applyFont="1" applyFill="1" applyBorder="1" applyAlignment="1">
      <alignment horizontal="center" vertical="center" wrapText="1"/>
    </xf>
    <xf numFmtId="4" fontId="22" fillId="5" borderId="31" xfId="1" applyNumberFormat="1" applyFont="1" applyFill="1" applyBorder="1" applyAlignment="1">
      <alignment horizontal="right" vertical="center" wrapText="1"/>
    </xf>
    <xf numFmtId="49" fontId="22" fillId="5" borderId="1" xfId="5" quotePrefix="1" applyNumberFormat="1" applyFont="1" applyFill="1" applyBorder="1" applyAlignment="1">
      <alignment horizontal="center" vertical="center" wrapText="1"/>
    </xf>
    <xf numFmtId="49" fontId="22" fillId="5" borderId="31" xfId="5" quotePrefix="1" applyNumberFormat="1" applyFont="1" applyFill="1" applyBorder="1" applyAlignment="1">
      <alignment horizontal="center" vertical="center" wrapText="1"/>
    </xf>
    <xf numFmtId="43" fontId="22" fillId="5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8" borderId="6" xfId="3" applyFont="1" applyFill="1" applyBorder="1" applyAlignment="1">
      <alignment horizontal="center" vertical="center"/>
    </xf>
    <xf numFmtId="0" fontId="21" fillId="8" borderId="6" xfId="3" applyFont="1" applyFill="1" applyBorder="1" applyAlignment="1">
      <alignment vertical="center"/>
    </xf>
    <xf numFmtId="4" fontId="22" fillId="8" borderId="6" xfId="1" applyNumberFormat="1" applyFont="1" applyFill="1" applyBorder="1" applyAlignment="1">
      <alignment vertical="center"/>
    </xf>
    <xf numFmtId="4" fontId="21" fillId="8" borderId="6" xfId="1" applyNumberFormat="1" applyFont="1" applyFill="1" applyBorder="1" applyAlignment="1">
      <alignment vertical="center"/>
    </xf>
    <xf numFmtId="4" fontId="21" fillId="8" borderId="6" xfId="3" applyNumberFormat="1" applyFont="1" applyFill="1" applyBorder="1" applyAlignment="1">
      <alignment vertical="center"/>
    </xf>
    <xf numFmtId="4" fontId="21" fillId="9" borderId="1" xfId="3" applyNumberFormat="1" applyFont="1" applyFill="1" applyBorder="1" applyAlignment="1">
      <alignment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1" fillId="0" borderId="0" xfId="3" applyNumberFormat="1" applyFont="1" applyAlignment="1">
      <alignment horizontal="center" vertical="center" wrapText="1"/>
    </xf>
    <xf numFmtId="4" fontId="21" fillId="0" borderId="0" xfId="3" applyNumberFormat="1" applyFont="1" applyAlignment="1">
      <alignment vertical="center" wrapText="1"/>
    </xf>
    <xf numFmtId="0" fontId="21" fillId="8" borderId="0" xfId="3" applyFont="1" applyFill="1" applyAlignment="1">
      <alignment horizontal="center" vertical="center" wrapText="1"/>
    </xf>
    <xf numFmtId="0" fontId="21" fillId="8" borderId="0" xfId="3" applyFont="1" applyFill="1" applyAlignment="1">
      <alignment vertical="center" wrapText="1"/>
    </xf>
    <xf numFmtId="4" fontId="22" fillId="8" borderId="0" xfId="1" applyNumberFormat="1" applyFont="1" applyFill="1" applyBorder="1" applyAlignment="1">
      <alignment vertical="center" wrapText="1"/>
    </xf>
    <xf numFmtId="4" fontId="21" fillId="8" borderId="0" xfId="3" applyNumberFormat="1" applyFont="1" applyFill="1" applyAlignment="1">
      <alignment horizontal="center" vertical="center" wrapText="1"/>
    </xf>
    <xf numFmtId="4" fontId="21" fillId="8" borderId="0" xfId="3" applyNumberFormat="1" applyFont="1" applyFill="1" applyAlignment="1">
      <alignment vertical="center" wrapText="1"/>
    </xf>
    <xf numFmtId="0" fontId="18" fillId="8" borderId="0" xfId="11" applyFont="1" applyFill="1" applyAlignment="1">
      <alignment horizontal="center" vertical="center"/>
    </xf>
    <xf numFmtId="49" fontId="18" fillId="8" borderId="0" xfId="11" applyNumberFormat="1" applyFont="1" applyFill="1" applyAlignment="1">
      <alignment horizontal="center" vertical="center"/>
    </xf>
    <xf numFmtId="0" fontId="18" fillId="8" borderId="0" xfId="11" applyFont="1" applyFill="1" applyAlignment="1">
      <alignment vertical="center"/>
    </xf>
    <xf numFmtId="49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" xfId="0" applyNumberFormat="1" applyFont="1" applyFill="1" applyBorder="1" applyAlignment="1" applyProtection="1">
      <alignment vertical="center" wrapText="1"/>
      <protection locked="0"/>
    </xf>
    <xf numFmtId="0" fontId="21" fillId="6" borderId="1" xfId="0" applyFont="1" applyFill="1" applyBorder="1" applyAlignment="1">
      <alignment vertical="center"/>
    </xf>
    <xf numFmtId="4" fontId="21" fillId="6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66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center" vertical="center" wrapText="1"/>
    </xf>
    <xf numFmtId="0" fontId="22" fillId="5" borderId="1" xfId="5" applyNumberFormat="1" applyFont="1" applyFill="1" applyBorder="1" applyAlignment="1">
      <alignment horizontal="left" vertical="center" wrapText="1"/>
    </xf>
    <xf numFmtId="43" fontId="22" fillId="5" borderId="1" xfId="5" applyNumberFormat="1" applyFont="1" applyFill="1" applyBorder="1" applyAlignment="1">
      <alignment horizontal="center" vertical="center" wrapText="1"/>
    </xf>
    <xf numFmtId="49" fontId="22" fillId="5" borderId="1" xfId="5" applyNumberFormat="1" applyFont="1" applyFill="1" applyBorder="1" applyAlignment="1">
      <alignment horizontal="center" vertical="center" wrapText="1"/>
    </xf>
    <xf numFmtId="168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0" xfId="11" applyFont="1" applyFill="1" applyAlignment="1">
      <alignment horizontal="center" vertical="center"/>
    </xf>
    <xf numFmtId="0" fontId="40" fillId="8" borderId="0" xfId="0" applyFont="1" applyFill="1" applyAlignment="1">
      <alignment horizontal="left"/>
    </xf>
    <xf numFmtId="0" fontId="40" fillId="8" borderId="0" xfId="0" applyFont="1" applyFill="1" applyAlignment="1">
      <alignment horizontal="right"/>
    </xf>
    <xf numFmtId="49" fontId="30" fillId="8" borderId="0" xfId="11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21" fillId="10" borderId="1" xfId="3" applyNumberFormat="1" applyFont="1" applyFill="1" applyBorder="1" applyAlignment="1">
      <alignment vertical="center"/>
    </xf>
    <xf numFmtId="43" fontId="19" fillId="10" borderId="13" xfId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6" fillId="0" borderId="0" xfId="8" applyFont="1"/>
    <xf numFmtId="0" fontId="30" fillId="8" borderId="0" xfId="0" applyFont="1" applyFill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43" fontId="21" fillId="10" borderId="4" xfId="1" applyFont="1" applyFill="1" applyBorder="1" applyAlignment="1">
      <alignment horizontal="center" vertical="center"/>
    </xf>
    <xf numFmtId="4" fontId="20" fillId="0" borderId="0" xfId="0" applyNumberFormat="1" applyFont="1" applyAlignment="1">
      <alignment vertical="center"/>
    </xf>
    <xf numFmtId="4" fontId="20" fillId="8" borderId="0" xfId="0" applyNumberFormat="1" applyFont="1" applyFill="1" applyAlignment="1">
      <alignment vertical="center"/>
    </xf>
    <xf numFmtId="43" fontId="24" fillId="0" borderId="0" xfId="1" applyFont="1" applyAlignment="1">
      <alignment vertical="center"/>
    </xf>
    <xf numFmtId="0" fontId="18" fillId="3" borderId="17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10" fontId="18" fillId="0" borderId="24" xfId="2" applyNumberFormat="1" applyFont="1" applyFill="1" applyBorder="1" applyAlignment="1">
      <alignment horizontal="center" vertical="center" wrapText="1"/>
    </xf>
    <xf numFmtId="10" fontId="18" fillId="0" borderId="25" xfId="2" applyNumberFormat="1" applyFont="1" applyFill="1" applyBorder="1" applyAlignment="1">
      <alignment horizontal="center" vertical="center" wrapText="1"/>
    </xf>
    <xf numFmtId="10" fontId="18" fillId="0" borderId="26" xfId="2" applyNumberFormat="1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14" fontId="18" fillId="3" borderId="20" xfId="0" applyNumberFormat="1" applyFont="1" applyFill="1" applyBorder="1" applyAlignment="1">
      <alignment horizontal="center" vertical="center"/>
    </xf>
    <xf numFmtId="14" fontId="18" fillId="3" borderId="21" xfId="0" applyNumberFormat="1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43" fontId="3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25" fillId="5" borderId="1" xfId="10" applyNumberFormat="1" applyFont="1" applyFill="1" applyBorder="1" applyAlignment="1">
      <alignment horizontal="center" vertical="center"/>
    </xf>
    <xf numFmtId="0" fontId="20" fillId="11" borderId="0" xfId="0" applyFont="1" applyFill="1" applyAlignment="1">
      <alignment vertical="center"/>
    </xf>
    <xf numFmtId="0" fontId="20" fillId="11" borderId="0" xfId="0" applyFont="1" applyFill="1" applyAlignment="1">
      <alignment vertical="center" wrapText="1"/>
    </xf>
    <xf numFmtId="43" fontId="30" fillId="3" borderId="16" xfId="1" applyFont="1" applyFill="1" applyBorder="1" applyAlignment="1" applyProtection="1">
      <alignment horizontal="center" vertical="center" wrapText="1"/>
    </xf>
    <xf numFmtId="43" fontId="30" fillId="3" borderId="32" xfId="1" applyFont="1" applyFill="1" applyBorder="1" applyAlignment="1" applyProtection="1">
      <alignment horizontal="center" vertical="center"/>
    </xf>
    <xf numFmtId="43" fontId="30" fillId="3" borderId="13" xfId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12" borderId="1" xfId="5" applyNumberFormat="1" applyFont="1" applyFill="1" applyBorder="1" applyAlignment="1">
      <alignment horizontal="center" vertical="center" wrapText="1"/>
    </xf>
    <xf numFmtId="0" fontId="22" fillId="12" borderId="1" xfId="3" applyFont="1" applyFill="1" applyBorder="1" applyAlignment="1">
      <alignment vertical="center" wrapText="1"/>
    </xf>
    <xf numFmtId="4" fontId="22" fillId="12" borderId="1" xfId="3" applyNumberFormat="1" applyFont="1" applyFill="1" applyBorder="1" applyAlignment="1">
      <alignment vertical="center"/>
    </xf>
    <xf numFmtId="10" fontId="22" fillId="12" borderId="1" xfId="2" applyNumberFormat="1" applyFont="1" applyFill="1" applyBorder="1" applyAlignment="1">
      <alignment horizontal="right" vertical="center" wrapText="1"/>
    </xf>
    <xf numFmtId="0" fontId="22" fillId="14" borderId="1" xfId="5" applyNumberFormat="1" applyFont="1" applyFill="1" applyBorder="1" applyAlignment="1">
      <alignment horizontal="center" vertical="center" wrapText="1"/>
    </xf>
    <xf numFmtId="0" fontId="22" fillId="14" borderId="1" xfId="3" applyFont="1" applyFill="1" applyBorder="1" applyAlignment="1">
      <alignment vertical="center" wrapText="1"/>
    </xf>
    <xf numFmtId="4" fontId="22" fillId="14" borderId="1" xfId="3" applyNumberFormat="1" applyFont="1" applyFill="1" applyBorder="1" applyAlignment="1">
      <alignment vertical="center"/>
    </xf>
    <xf numFmtId="10" fontId="22" fillId="14" borderId="1" xfId="2" applyNumberFormat="1" applyFont="1" applyFill="1" applyBorder="1" applyAlignment="1">
      <alignment horizontal="right" vertical="center" wrapText="1"/>
    </xf>
    <xf numFmtId="4" fontId="22" fillId="14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6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20" fillId="8" borderId="0" xfId="0" applyFont="1" applyFill="1" applyAlignment="1">
      <alignment vertical="center" wrapText="1"/>
    </xf>
    <xf numFmtId="0" fontId="22" fillId="15" borderId="1" xfId="5" applyNumberFormat="1" applyFont="1" applyFill="1" applyBorder="1" applyAlignment="1">
      <alignment horizontal="center" vertical="center" wrapText="1"/>
    </xf>
    <xf numFmtId="0" fontId="22" fillId="15" borderId="1" xfId="3" applyFont="1" applyFill="1" applyBorder="1" applyAlignment="1">
      <alignment vertical="center" wrapText="1"/>
    </xf>
    <xf numFmtId="4" fontId="22" fillId="15" borderId="1" xfId="3" applyNumberFormat="1" applyFont="1" applyFill="1" applyBorder="1" applyAlignment="1">
      <alignment vertical="center"/>
    </xf>
    <xf numFmtId="10" fontId="22" fillId="15" borderId="1" xfId="2" applyNumberFormat="1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center" vertical="center" wrapText="1"/>
    </xf>
    <xf numFmtId="14" fontId="18" fillId="8" borderId="0" xfId="0" applyNumberFormat="1" applyFont="1" applyFill="1" applyAlignment="1">
      <alignment horizontal="center" vertical="center"/>
    </xf>
    <xf numFmtId="0" fontId="29" fillId="8" borderId="0" xfId="0" applyFont="1" applyFill="1" applyAlignment="1">
      <alignment horizontal="center" vertical="center" wrapText="1"/>
    </xf>
    <xf numFmtId="0" fontId="42" fillId="12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10" fontId="3" fillId="8" borderId="1" xfId="2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vertical="center"/>
    </xf>
    <xf numFmtId="0" fontId="4" fillId="16" borderId="1" xfId="0" applyFont="1" applyFill="1" applyBorder="1" applyAlignment="1">
      <alignment horizontal="center" vertical="center" wrapText="1"/>
    </xf>
    <xf numFmtId="44" fontId="3" fillId="8" borderId="1" xfId="7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14" fontId="18" fillId="3" borderId="29" xfId="0" applyNumberFormat="1" applyFont="1" applyFill="1" applyBorder="1" applyAlignment="1">
      <alignment horizontal="center" vertical="center"/>
    </xf>
    <xf numFmtId="14" fontId="18" fillId="3" borderId="28" xfId="0" applyNumberFormat="1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4" fontId="22" fillId="14" borderId="1" xfId="3" applyNumberFormat="1" applyFont="1" applyFill="1" applyBorder="1" applyAlignment="1">
      <alignment horizontal="center" vertical="center"/>
    </xf>
    <xf numFmtId="4" fontId="22" fillId="15" borderId="1" xfId="3" applyNumberFormat="1" applyFont="1" applyFill="1" applyBorder="1" applyAlignment="1">
      <alignment horizontal="center" vertical="center"/>
    </xf>
    <xf numFmtId="4" fontId="22" fillId="12" borderId="1" xfId="3" applyNumberFormat="1" applyFont="1" applyFill="1" applyBorder="1" applyAlignment="1">
      <alignment horizontal="center" vertical="center"/>
    </xf>
    <xf numFmtId="0" fontId="22" fillId="14" borderId="31" xfId="5" applyNumberFormat="1" applyFont="1" applyFill="1" applyBorder="1" applyAlignment="1">
      <alignment horizontal="center" vertical="center" wrapText="1"/>
    </xf>
    <xf numFmtId="0" fontId="22" fillId="14" borderId="31" xfId="3" applyFont="1" applyFill="1" applyBorder="1" applyAlignment="1">
      <alignment vertical="center" wrapText="1"/>
    </xf>
    <xf numFmtId="4" fontId="22" fillId="14" borderId="31" xfId="3" applyNumberFormat="1" applyFont="1" applyFill="1" applyBorder="1" applyAlignment="1">
      <alignment horizontal="center" vertical="center"/>
    </xf>
    <xf numFmtId="4" fontId="22" fillId="14" borderId="31" xfId="3" applyNumberFormat="1" applyFont="1" applyFill="1" applyBorder="1" applyAlignment="1">
      <alignment vertical="center"/>
    </xf>
    <xf numFmtId="10" fontId="22" fillId="14" borderId="31" xfId="2" applyNumberFormat="1" applyFont="1" applyFill="1" applyBorder="1" applyAlignment="1">
      <alignment horizontal="right" vertical="center" wrapText="1"/>
    </xf>
    <xf numFmtId="4" fontId="22" fillId="14" borderId="31" xfId="1" applyNumberFormat="1" applyFont="1" applyFill="1" applyBorder="1" applyAlignment="1">
      <alignment horizontal="right" vertical="center" wrapText="1"/>
    </xf>
    <xf numFmtId="0" fontId="34" fillId="8" borderId="31" xfId="0" applyFont="1" applyFill="1" applyBorder="1" applyAlignment="1">
      <alignment horizontal="center" vertical="center" wrapText="1"/>
    </xf>
    <xf numFmtId="44" fontId="20" fillId="8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4" fontId="20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 wrapText="1"/>
    </xf>
    <xf numFmtId="4" fontId="20" fillId="8" borderId="1" xfId="0" applyNumberFormat="1" applyFont="1" applyFill="1" applyBorder="1" applyAlignment="1">
      <alignment horizontal="center"/>
    </xf>
    <xf numFmtId="4" fontId="20" fillId="8" borderId="0" xfId="0" applyNumberFormat="1" applyFont="1" applyFill="1" applyAlignment="1">
      <alignment vertical="center" wrapText="1"/>
    </xf>
    <xf numFmtId="44" fontId="6" fillId="0" borderId="0" xfId="0" applyNumberFormat="1" applyFont="1" applyAlignment="1">
      <alignment vertical="center"/>
    </xf>
    <xf numFmtId="0" fontId="43" fillId="0" borderId="0" xfId="0" applyFont="1" applyAlignment="1">
      <alignment horizontal="right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right" vertical="center"/>
    </xf>
    <xf numFmtId="0" fontId="18" fillId="3" borderId="18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14" fontId="18" fillId="3" borderId="23" xfId="0" applyNumberFormat="1" applyFont="1" applyFill="1" applyBorder="1" applyAlignment="1">
      <alignment horizontal="center" vertical="center"/>
    </xf>
    <xf numFmtId="14" fontId="18" fillId="3" borderId="20" xfId="0" applyNumberFormat="1" applyFont="1" applyFill="1" applyBorder="1" applyAlignment="1">
      <alignment horizontal="center" vertical="center"/>
    </xf>
    <xf numFmtId="14" fontId="18" fillId="3" borderId="22" xfId="0" applyNumberFormat="1" applyFont="1" applyFill="1" applyBorder="1" applyAlignment="1">
      <alignment horizontal="center" vertical="center"/>
    </xf>
    <xf numFmtId="14" fontId="18" fillId="3" borderId="21" xfId="0" applyNumberFormat="1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10" fontId="18" fillId="0" borderId="24" xfId="2" applyNumberFormat="1" applyFont="1" applyFill="1" applyBorder="1" applyAlignment="1">
      <alignment horizontal="center" vertical="center" wrapText="1"/>
    </xf>
    <xf numFmtId="10" fontId="18" fillId="0" borderId="25" xfId="2" applyNumberFormat="1" applyFont="1" applyFill="1" applyBorder="1" applyAlignment="1">
      <alignment horizontal="center" vertical="center" wrapText="1"/>
    </xf>
    <xf numFmtId="10" fontId="18" fillId="0" borderId="26" xfId="2" applyNumberFormat="1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21" fillId="10" borderId="4" xfId="3" applyFont="1" applyFill="1" applyBorder="1" applyAlignment="1">
      <alignment horizontal="center" vertical="center"/>
    </xf>
    <xf numFmtId="0" fontId="21" fillId="10" borderId="5" xfId="3" applyFont="1" applyFill="1" applyBorder="1" applyAlignment="1">
      <alignment horizontal="center" vertical="center"/>
    </xf>
    <xf numFmtId="0" fontId="21" fillId="10" borderId="3" xfId="3" applyFont="1" applyFill="1" applyBorder="1" applyAlignment="1">
      <alignment horizontal="center" vertical="center"/>
    </xf>
    <xf numFmtId="0" fontId="21" fillId="9" borderId="1" xfId="3" applyFont="1" applyFill="1" applyBorder="1" applyAlignment="1">
      <alignment horizontal="center" vertical="center"/>
    </xf>
    <xf numFmtId="43" fontId="21" fillId="10" borderId="4" xfId="1" applyFont="1" applyFill="1" applyBorder="1" applyAlignment="1">
      <alignment horizontal="center" vertical="center"/>
    </xf>
    <xf numFmtId="43" fontId="21" fillId="10" borderId="5" xfId="1" applyFont="1" applyFill="1" applyBorder="1" applyAlignment="1">
      <alignment horizontal="center" vertical="center"/>
    </xf>
    <xf numFmtId="43" fontId="21" fillId="10" borderId="3" xfId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10" borderId="17" xfId="3" applyFont="1" applyFill="1" applyBorder="1" applyAlignment="1">
      <alignment horizontal="right" vertical="center"/>
    </xf>
    <xf numFmtId="0" fontId="19" fillId="10" borderId="18" xfId="3" applyFont="1" applyFill="1" applyBorder="1" applyAlignment="1">
      <alignment horizontal="right" vertical="center"/>
    </xf>
    <xf numFmtId="0" fontId="19" fillId="10" borderId="19" xfId="3" applyFont="1" applyFill="1" applyBorder="1" applyAlignment="1">
      <alignment horizontal="right" vertical="center"/>
    </xf>
    <xf numFmtId="0" fontId="4" fillId="16" borderId="1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/>
    </xf>
    <xf numFmtId="0" fontId="36" fillId="0" borderId="8" xfId="0" applyFont="1" applyBorder="1" applyAlignment="1">
      <alignment horizontal="center" vertical="center" textRotation="90"/>
    </xf>
    <xf numFmtId="0" fontId="36" fillId="0" borderId="30" xfId="0" applyFont="1" applyBorder="1" applyAlignment="1">
      <alignment horizontal="center" vertical="center" textRotation="90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4" borderId="4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6" fillId="4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4" borderId="4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3" fontId="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43" fontId="17" fillId="0" borderId="0" xfId="8" applyNumberFormat="1" applyFont="1" applyAlignment="1" applyProtection="1">
      <alignment horizontal="center" vertical="center"/>
      <protection locked="0"/>
    </xf>
    <xf numFmtId="0" fontId="17" fillId="0" borderId="0" xfId="8" applyFont="1" applyAlignment="1" applyProtection="1">
      <alignment horizontal="center" vertical="center"/>
      <protection locked="0"/>
    </xf>
    <xf numFmtId="0" fontId="27" fillId="3" borderId="27" xfId="8" applyFont="1" applyFill="1" applyBorder="1" applyAlignment="1">
      <alignment horizontal="center" vertical="center"/>
    </xf>
    <xf numFmtId="0" fontId="27" fillId="3" borderId="16" xfId="8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12" fillId="0" borderId="6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49" fontId="19" fillId="3" borderId="29" xfId="3" applyNumberFormat="1" applyFont="1" applyFill="1" applyBorder="1" applyAlignment="1">
      <alignment horizontal="right" vertical="center"/>
    </xf>
    <xf numFmtId="49" fontId="19" fillId="3" borderId="23" xfId="3" applyNumberFormat="1" applyFont="1" applyFill="1" applyBorder="1" applyAlignment="1">
      <alignment horizontal="right" vertical="center"/>
    </xf>
    <xf numFmtId="49" fontId="19" fillId="3" borderId="17" xfId="3" applyNumberFormat="1" applyFont="1" applyFill="1" applyBorder="1" applyAlignment="1">
      <alignment horizontal="right" vertical="center"/>
    </xf>
    <xf numFmtId="49" fontId="19" fillId="3" borderId="19" xfId="3" applyNumberFormat="1" applyFont="1" applyFill="1" applyBorder="1" applyAlignment="1">
      <alignment horizontal="right" vertical="center"/>
    </xf>
    <xf numFmtId="0" fontId="18" fillId="3" borderId="24" xfId="8" applyFont="1" applyFill="1" applyBorder="1" applyAlignment="1">
      <alignment horizontal="center" vertical="center"/>
    </xf>
    <xf numFmtId="0" fontId="18" fillId="3" borderId="26" xfId="8" applyFont="1" applyFill="1" applyBorder="1" applyAlignment="1">
      <alignment horizontal="center" vertical="center"/>
    </xf>
    <xf numFmtId="0" fontId="27" fillId="3" borderId="14" xfId="8" applyFont="1" applyFill="1" applyBorder="1" applyAlignment="1">
      <alignment horizontal="center" vertical="center"/>
    </xf>
    <xf numFmtId="0" fontId="18" fillId="3" borderId="23" xfId="8" applyFont="1" applyFill="1" applyBorder="1" applyAlignment="1">
      <alignment horizontal="center" vertical="center"/>
    </xf>
    <xf numFmtId="0" fontId="18" fillId="3" borderId="22" xfId="8" applyFont="1" applyFill="1" applyBorder="1" applyAlignment="1">
      <alignment horizontal="center" vertical="center"/>
    </xf>
    <xf numFmtId="165" fontId="18" fillId="3" borderId="24" xfId="9" applyFont="1" applyFill="1" applyBorder="1" applyAlignment="1" applyProtection="1">
      <alignment horizontal="center" vertical="center" wrapText="1"/>
    </xf>
    <xf numFmtId="165" fontId="18" fillId="3" borderId="26" xfId="9" applyFont="1" applyFill="1" applyBorder="1" applyAlignment="1" applyProtection="1">
      <alignment horizontal="center" vertical="center" wrapText="1"/>
    </xf>
    <xf numFmtId="0" fontId="4" fillId="0" borderId="17" xfId="8" applyFont="1" applyBorder="1" applyAlignment="1">
      <alignment horizontal="center" vertical="center"/>
    </xf>
    <xf numFmtId="0" fontId="4" fillId="0" borderId="18" xfId="8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17" fillId="0" borderId="6" xfId="8" applyFont="1" applyBorder="1" applyAlignment="1">
      <alignment horizontal="left" vertical="center"/>
    </xf>
    <xf numFmtId="0" fontId="18" fillId="0" borderId="11" xfId="8" applyFont="1" applyBorder="1" applyAlignment="1">
      <alignment horizontal="center" vertical="center"/>
    </xf>
    <xf numFmtId="0" fontId="18" fillId="0" borderId="7" xfId="8" applyFont="1" applyBorder="1" applyAlignment="1">
      <alignment horizontal="center" vertical="center"/>
    </xf>
    <xf numFmtId="0" fontId="18" fillId="0" borderId="12" xfId="8" applyFont="1" applyBorder="1" applyAlignment="1">
      <alignment horizontal="center" vertical="center"/>
    </xf>
    <xf numFmtId="0" fontId="25" fillId="0" borderId="11" xfId="8" applyFont="1" applyBorder="1" applyAlignment="1">
      <alignment horizontal="left" vertical="center"/>
    </xf>
    <xf numFmtId="0" fontId="25" fillId="0" borderId="7" xfId="8" applyFont="1" applyBorder="1" applyAlignment="1">
      <alignment horizontal="left" vertical="center"/>
    </xf>
    <xf numFmtId="0" fontId="25" fillId="0" borderId="12" xfId="8" applyFont="1" applyBorder="1" applyAlignment="1">
      <alignment horizontal="left" vertical="center"/>
    </xf>
    <xf numFmtId="0" fontId="17" fillId="0" borderId="11" xfId="8" applyFont="1" applyBorder="1" applyAlignment="1">
      <alignment horizontal="left" vertical="center"/>
    </xf>
    <xf numFmtId="0" fontId="17" fillId="0" borderId="7" xfId="8" applyFont="1" applyBorder="1" applyAlignment="1">
      <alignment horizontal="left" vertical="center"/>
    </xf>
    <xf numFmtId="0" fontId="17" fillId="0" borderId="12" xfId="8" applyFont="1" applyBorder="1" applyAlignment="1">
      <alignment horizontal="left" vertical="center"/>
    </xf>
    <xf numFmtId="0" fontId="4" fillId="0" borderId="6" xfId="8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</cellXfs>
  <cellStyles count="13">
    <cellStyle name="Excel Built-in Excel Built-in Excel Built-in Excel Built-in Excel Built-in Excel Built-in Excel Built-in Separador de milhares 4" xfId="4" xr:uid="{00000000-0005-0000-0000-000000000000}"/>
    <cellStyle name="Excel Built-in Normal" xfId="5" xr:uid="{00000000-0005-0000-0000-000001000000}"/>
    <cellStyle name="Moeda" xfId="7" builtinId="4"/>
    <cellStyle name="Normal" xfId="0" builtinId="0"/>
    <cellStyle name="Normal 2" xfId="3" xr:uid="{00000000-0005-0000-0000-000004000000}"/>
    <cellStyle name="Normal 2 2" xfId="11" xr:uid="{00000000-0005-0000-0000-000005000000}"/>
    <cellStyle name="Normal 3" xfId="8" xr:uid="{00000000-0005-0000-0000-000006000000}"/>
    <cellStyle name="Porcentagem" xfId="2" builtinId="5"/>
    <cellStyle name="Porcentagem 2" xfId="10" xr:uid="{00000000-0005-0000-0000-000008000000}"/>
    <cellStyle name="Separador de milhares 2" xfId="6" xr:uid="{00000000-0005-0000-0000-000009000000}"/>
    <cellStyle name="Vírgula" xfId="1" builtinId="3"/>
    <cellStyle name="Vírgula 2" xfId="9" xr:uid="{00000000-0005-0000-0000-00000B000000}"/>
    <cellStyle name="Vírgula 3" xfId="12" xr:uid="{00000000-0005-0000-0000-00000C000000}"/>
  </cellStyles>
  <dxfs count="6"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8181"/>
      <color rgb="FFFFFF99"/>
      <color rgb="FFF2F2F2"/>
      <color rgb="FFEDEDED"/>
      <color rgb="FFFFC9C9"/>
      <color rgb="FFFF9F9F"/>
      <color rgb="FF9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Gráfico - Curva</a:t>
            </a:r>
            <a:r>
              <a:rPr lang="pt-BR" baseline="0"/>
              <a:t> </a:t>
            </a:r>
            <a:r>
              <a:rPr lang="pt-BR"/>
              <a:t>ABC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CURVA ABC'!$J$12</c:f>
              <c:strCache>
                <c:ptCount val="1"/>
                <c:pt idx="0">
                  <c:v> PORCENTAGEM (%)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'DADOS CURVA ABC'!$B$13:$B$188</c:f>
              <c:strCache>
                <c:ptCount val="176"/>
                <c:pt idx="0">
                  <c:v>5.2.2.3</c:v>
                </c:pt>
                <c:pt idx="1">
                  <c:v>2.2</c:v>
                </c:pt>
                <c:pt idx="2">
                  <c:v>2.1</c:v>
                </c:pt>
                <c:pt idx="3">
                  <c:v>3.1.2.2</c:v>
                </c:pt>
                <c:pt idx="4">
                  <c:v>3.1.4.2</c:v>
                </c:pt>
                <c:pt idx="5">
                  <c:v>5.3.5.8</c:v>
                </c:pt>
                <c:pt idx="6">
                  <c:v>1.5.3</c:v>
                </c:pt>
                <c:pt idx="7">
                  <c:v>3.3.3.1</c:v>
                </c:pt>
                <c:pt idx="8">
                  <c:v>5.3.5.4</c:v>
                </c:pt>
                <c:pt idx="9">
                  <c:v>1.5.5</c:v>
                </c:pt>
                <c:pt idx="10">
                  <c:v>1.4.1</c:v>
                </c:pt>
                <c:pt idx="11">
                  <c:v>5.1.5.6</c:v>
                </c:pt>
                <c:pt idx="12">
                  <c:v>1.2.6</c:v>
                </c:pt>
                <c:pt idx="13">
                  <c:v>5.3.10.6</c:v>
                </c:pt>
                <c:pt idx="14">
                  <c:v>4.6.14</c:v>
                </c:pt>
                <c:pt idx="15">
                  <c:v>5.1.6.4</c:v>
                </c:pt>
                <c:pt idx="16">
                  <c:v>SINAPI</c:v>
                </c:pt>
                <c:pt idx="17">
                  <c:v>5.3.1.1</c:v>
                </c:pt>
                <c:pt idx="18">
                  <c:v>1.2.5</c:v>
                </c:pt>
                <c:pt idx="19">
                  <c:v>1.5.2</c:v>
                </c:pt>
                <c:pt idx="20">
                  <c:v>1.3.2</c:v>
                </c:pt>
                <c:pt idx="21">
                  <c:v>5.3.2.11</c:v>
                </c:pt>
                <c:pt idx="22">
                  <c:v>3.3.9.1</c:v>
                </c:pt>
                <c:pt idx="23">
                  <c:v>1.6.4</c:v>
                </c:pt>
                <c:pt idx="24">
                  <c:v>5.3.10.8</c:v>
                </c:pt>
                <c:pt idx="25">
                  <c:v>5.1.5.1</c:v>
                </c:pt>
                <c:pt idx="26">
                  <c:v>5.3.14.9</c:v>
                </c:pt>
                <c:pt idx="27">
                  <c:v>1.2</c:v>
                </c:pt>
                <c:pt idx="28">
                  <c:v>3.2.2.1</c:v>
                </c:pt>
                <c:pt idx="29">
                  <c:v>5.2.3.3</c:v>
                </c:pt>
                <c:pt idx="30">
                  <c:v>1.5</c:v>
                </c:pt>
                <c:pt idx="31">
                  <c:v>1.5.1</c:v>
                </c:pt>
                <c:pt idx="32">
                  <c:v>3.3.3.2</c:v>
                </c:pt>
                <c:pt idx="33">
                  <c:v>5.1.1.1</c:v>
                </c:pt>
                <c:pt idx="34">
                  <c:v>1.2.2</c:v>
                </c:pt>
                <c:pt idx="35">
                  <c:v>4.4.3</c:v>
                </c:pt>
                <c:pt idx="36">
                  <c:v>1.6.3</c:v>
                </c:pt>
                <c:pt idx="37">
                  <c:v>3.3.9.9</c:v>
                </c:pt>
                <c:pt idx="38">
                  <c:v>1.4</c:v>
                </c:pt>
                <c:pt idx="39">
                  <c:v>3.1.10.7</c:v>
                </c:pt>
                <c:pt idx="40">
                  <c:v>2.4.8</c:v>
                </c:pt>
                <c:pt idx="41">
                  <c:v>4.2.3</c:v>
                </c:pt>
                <c:pt idx="42">
                  <c:v>4.2.1</c:v>
                </c:pt>
                <c:pt idx="43">
                  <c:v>5.3.7.5</c:v>
                </c:pt>
                <c:pt idx="44">
                  <c:v>1.8.3</c:v>
                </c:pt>
                <c:pt idx="45">
                  <c:v>1.8.5</c:v>
                </c:pt>
                <c:pt idx="47">
                  <c:v>3.1.8.7</c:v>
                </c:pt>
                <c:pt idx="48">
                  <c:v>3.1.11.3</c:v>
                </c:pt>
                <c:pt idx="49">
                  <c:v>1.1</c:v>
                </c:pt>
                <c:pt idx="50">
                  <c:v>3.2.5.2</c:v>
                </c:pt>
                <c:pt idx="51">
                  <c:v>2.3.2</c:v>
                </c:pt>
                <c:pt idx="52">
                  <c:v>1.1</c:v>
                </c:pt>
                <c:pt idx="53">
                  <c:v>5.1.3.1</c:v>
                </c:pt>
                <c:pt idx="54">
                  <c:v>2.3.4</c:v>
                </c:pt>
                <c:pt idx="55">
                  <c:v>5.3.2.1</c:v>
                </c:pt>
                <c:pt idx="56">
                  <c:v>4.2.2</c:v>
                </c:pt>
                <c:pt idx="57">
                  <c:v>3.1.10.6</c:v>
                </c:pt>
                <c:pt idx="58">
                  <c:v>5.3.5.6</c:v>
                </c:pt>
                <c:pt idx="59">
                  <c:v>3.1.10.1</c:v>
                </c:pt>
                <c:pt idx="60">
                  <c:v>5.3.14.10</c:v>
                </c:pt>
                <c:pt idx="61">
                  <c:v>1.8.6</c:v>
                </c:pt>
                <c:pt idx="62">
                  <c:v>3.3.9.7</c:v>
                </c:pt>
                <c:pt idx="63">
                  <c:v>5.3.4.2</c:v>
                </c:pt>
                <c:pt idx="64">
                  <c:v>5.3.2.4</c:v>
                </c:pt>
                <c:pt idx="65">
                  <c:v>3.3.9.8</c:v>
                </c:pt>
                <c:pt idx="66">
                  <c:v>5.3.3.8</c:v>
                </c:pt>
                <c:pt idx="67">
                  <c:v>3.3.8.3</c:v>
                </c:pt>
                <c:pt idx="68">
                  <c:v>3.1.11.11</c:v>
                </c:pt>
                <c:pt idx="69">
                  <c:v>1.6.13</c:v>
                </c:pt>
                <c:pt idx="70">
                  <c:v>5.3.2.9</c:v>
                </c:pt>
                <c:pt idx="71">
                  <c:v>3.2.8.6</c:v>
                </c:pt>
                <c:pt idx="72">
                  <c:v>4.5.9</c:v>
                </c:pt>
                <c:pt idx="73">
                  <c:v>5.3.13.1</c:v>
                </c:pt>
                <c:pt idx="74">
                  <c:v>3.1.1.7</c:v>
                </c:pt>
                <c:pt idx="75">
                  <c:v>1.6.12</c:v>
                </c:pt>
                <c:pt idx="76">
                  <c:v>5.3.5.2</c:v>
                </c:pt>
                <c:pt idx="77">
                  <c:v>4.6.10</c:v>
                </c:pt>
                <c:pt idx="78">
                  <c:v>5.3.2.10</c:v>
                </c:pt>
                <c:pt idx="79">
                  <c:v>3.2.5.1</c:v>
                </c:pt>
                <c:pt idx="80">
                  <c:v>5.3.3.1</c:v>
                </c:pt>
                <c:pt idx="81">
                  <c:v>1.6.2</c:v>
                </c:pt>
                <c:pt idx="82">
                  <c:v>5.3.3.2</c:v>
                </c:pt>
                <c:pt idx="83">
                  <c:v>3.1.11.2</c:v>
                </c:pt>
                <c:pt idx="84">
                  <c:v>5.3.2.12</c:v>
                </c:pt>
                <c:pt idx="85">
                  <c:v>3.1.10.14</c:v>
                </c:pt>
                <c:pt idx="86">
                  <c:v>5.3.2.3</c:v>
                </c:pt>
                <c:pt idx="87">
                  <c:v>3.2.8.11</c:v>
                </c:pt>
                <c:pt idx="88">
                  <c:v>5.3.3.5</c:v>
                </c:pt>
                <c:pt idx="89">
                  <c:v>5.1.6.1</c:v>
                </c:pt>
                <c:pt idx="90">
                  <c:v>5.3.2.6</c:v>
                </c:pt>
                <c:pt idx="91">
                  <c:v>3.3.4.3</c:v>
                </c:pt>
                <c:pt idx="92">
                  <c:v>2.1.3</c:v>
                </c:pt>
                <c:pt idx="93">
                  <c:v>3.1.8.5</c:v>
                </c:pt>
                <c:pt idx="94">
                  <c:v>1.6.19</c:v>
                </c:pt>
                <c:pt idx="95">
                  <c:v>3.1.10.12</c:v>
                </c:pt>
                <c:pt idx="96">
                  <c:v>4.1.5</c:v>
                </c:pt>
                <c:pt idx="97">
                  <c:v>5.1.1.3</c:v>
                </c:pt>
                <c:pt idx="98">
                  <c:v>3.2.4.2</c:v>
                </c:pt>
                <c:pt idx="99">
                  <c:v>3.3.7.4</c:v>
                </c:pt>
                <c:pt idx="100">
                  <c:v>5.3.4.4</c:v>
                </c:pt>
                <c:pt idx="101">
                  <c:v>3.3.7.3</c:v>
                </c:pt>
                <c:pt idx="102">
                  <c:v>3.3.7.2</c:v>
                </c:pt>
                <c:pt idx="103">
                  <c:v>3.3.9.6</c:v>
                </c:pt>
                <c:pt idx="104">
                  <c:v>5.3.3.4</c:v>
                </c:pt>
                <c:pt idx="105">
                  <c:v>5.3.14.3</c:v>
                </c:pt>
                <c:pt idx="106">
                  <c:v>3.3.8.9</c:v>
                </c:pt>
                <c:pt idx="107">
                  <c:v>1.6.5</c:v>
                </c:pt>
                <c:pt idx="108">
                  <c:v>5.3.3.7</c:v>
                </c:pt>
                <c:pt idx="109">
                  <c:v>2.6.2</c:v>
                </c:pt>
                <c:pt idx="110">
                  <c:v>3.1.10.16</c:v>
                </c:pt>
                <c:pt idx="111">
                  <c:v>3.1.11.1</c:v>
                </c:pt>
                <c:pt idx="112">
                  <c:v>2.6.4</c:v>
                </c:pt>
                <c:pt idx="113">
                  <c:v>2.5.2</c:v>
                </c:pt>
                <c:pt idx="114">
                  <c:v>5.3.4.3</c:v>
                </c:pt>
                <c:pt idx="115">
                  <c:v>3.1.10.2</c:v>
                </c:pt>
                <c:pt idx="116">
                  <c:v>5.3.2.8</c:v>
                </c:pt>
                <c:pt idx="117">
                  <c:v>5.3.3.6</c:v>
                </c:pt>
                <c:pt idx="118">
                  <c:v>1.6.16</c:v>
                </c:pt>
                <c:pt idx="119">
                  <c:v>5.3.3.3</c:v>
                </c:pt>
                <c:pt idx="120">
                  <c:v>3.1.11.6</c:v>
                </c:pt>
                <c:pt idx="121">
                  <c:v>5.3.4.1</c:v>
                </c:pt>
                <c:pt idx="122">
                  <c:v>5.3.2.2</c:v>
                </c:pt>
                <c:pt idx="123">
                  <c:v>3.1.8.8</c:v>
                </c:pt>
                <c:pt idx="124">
                  <c:v>5.3.3.9</c:v>
                </c:pt>
                <c:pt idx="125">
                  <c:v>3.1.9.4</c:v>
                </c:pt>
                <c:pt idx="126">
                  <c:v>5.3.2.7</c:v>
                </c:pt>
                <c:pt idx="127">
                  <c:v>3.1.10.9</c:v>
                </c:pt>
                <c:pt idx="128">
                  <c:v>3.1.8.9</c:v>
                </c:pt>
                <c:pt idx="129">
                  <c:v>1.7.1</c:v>
                </c:pt>
                <c:pt idx="130">
                  <c:v>2.5.1</c:v>
                </c:pt>
                <c:pt idx="131">
                  <c:v>3.1.11.12</c:v>
                </c:pt>
                <c:pt idx="132">
                  <c:v>3.2.4.1</c:v>
                </c:pt>
                <c:pt idx="133">
                  <c:v>1.6.18</c:v>
                </c:pt>
                <c:pt idx="134">
                  <c:v>1.7.3</c:v>
                </c:pt>
                <c:pt idx="135">
                  <c:v>5.3.13.2</c:v>
                </c:pt>
                <c:pt idx="136">
                  <c:v>4.6.12</c:v>
                </c:pt>
                <c:pt idx="137">
                  <c:v>1.8.4</c:v>
                </c:pt>
                <c:pt idx="138">
                  <c:v>1.6.14</c:v>
                </c:pt>
                <c:pt idx="139">
                  <c:v>4.6.6</c:v>
                </c:pt>
                <c:pt idx="140">
                  <c:v>3.1.8.1</c:v>
                </c:pt>
                <c:pt idx="141">
                  <c:v>1.7.5</c:v>
                </c:pt>
                <c:pt idx="142">
                  <c:v>4.6.13</c:v>
                </c:pt>
                <c:pt idx="143">
                  <c:v>3.1.9.5</c:v>
                </c:pt>
                <c:pt idx="144">
                  <c:v>3.1.11.5</c:v>
                </c:pt>
                <c:pt idx="145">
                  <c:v>3.1.1.6</c:v>
                </c:pt>
                <c:pt idx="146">
                  <c:v>5.1.5.4</c:v>
                </c:pt>
                <c:pt idx="147">
                  <c:v>5.3.9.4</c:v>
                </c:pt>
                <c:pt idx="148">
                  <c:v>3.1.10.18</c:v>
                </c:pt>
                <c:pt idx="149">
                  <c:v>3.1.8.4</c:v>
                </c:pt>
                <c:pt idx="150">
                  <c:v>5.3.14.11</c:v>
                </c:pt>
                <c:pt idx="151">
                  <c:v>3.1.9.6</c:v>
                </c:pt>
                <c:pt idx="152">
                  <c:v>3.3.7.1</c:v>
                </c:pt>
                <c:pt idx="153">
                  <c:v>2.1.6</c:v>
                </c:pt>
                <c:pt idx="154">
                  <c:v>1.6.8</c:v>
                </c:pt>
                <c:pt idx="155">
                  <c:v>2.1.4</c:v>
                </c:pt>
                <c:pt idx="156">
                  <c:v>3.1.11.13</c:v>
                </c:pt>
                <c:pt idx="157">
                  <c:v>5.1.5.2</c:v>
                </c:pt>
                <c:pt idx="158">
                  <c:v>3.3.8.6</c:v>
                </c:pt>
                <c:pt idx="159">
                  <c:v>3.3.8.4</c:v>
                </c:pt>
                <c:pt idx="160">
                  <c:v>3.1.9.3</c:v>
                </c:pt>
                <c:pt idx="161">
                  <c:v>1.6.15</c:v>
                </c:pt>
                <c:pt idx="162">
                  <c:v>4.6.11</c:v>
                </c:pt>
                <c:pt idx="163">
                  <c:v>5.3.14.2</c:v>
                </c:pt>
                <c:pt idx="164">
                  <c:v>5.3.9.5</c:v>
                </c:pt>
                <c:pt idx="165">
                  <c:v>3.1.11.8</c:v>
                </c:pt>
                <c:pt idx="166">
                  <c:v>3.1.8.6</c:v>
                </c:pt>
                <c:pt idx="167">
                  <c:v>3.3.8.8</c:v>
                </c:pt>
                <c:pt idx="168">
                  <c:v>4.1.7</c:v>
                </c:pt>
                <c:pt idx="169">
                  <c:v>3.1.11.9</c:v>
                </c:pt>
                <c:pt idx="170">
                  <c:v>3.1.11.7</c:v>
                </c:pt>
                <c:pt idx="171">
                  <c:v>3.1.8.3</c:v>
                </c:pt>
                <c:pt idx="172">
                  <c:v>3.3.1.3</c:v>
                </c:pt>
                <c:pt idx="173">
                  <c:v>5.3.2.5</c:v>
                </c:pt>
                <c:pt idx="174">
                  <c:v>2.1.5</c:v>
                </c:pt>
                <c:pt idx="175">
                  <c:v>3.1.8.2</c:v>
                </c:pt>
              </c:strCache>
            </c:strRef>
          </c:cat>
          <c:val>
            <c:numRef>
              <c:f>'DADOS CURVA ABC'!$J$13:$J$188</c:f>
              <c:numCache>
                <c:formatCode>0.00%</c:formatCode>
                <c:ptCount val="176"/>
                <c:pt idx="0">
                  <c:v>9.6476038135213327E-2</c:v>
                </c:pt>
                <c:pt idx="1">
                  <c:v>7.2666040991556213E-2</c:v>
                </c:pt>
                <c:pt idx="2">
                  <c:v>6.8513260109484206E-2</c:v>
                </c:pt>
                <c:pt idx="3">
                  <c:v>4.9280541866461247E-2</c:v>
                </c:pt>
                <c:pt idx="4">
                  <c:v>4.7420558580938355E-2</c:v>
                </c:pt>
                <c:pt idx="5">
                  <c:v>4.1809009636874526E-2</c:v>
                </c:pt>
                <c:pt idx="6">
                  <c:v>3.6425685737614906E-2</c:v>
                </c:pt>
                <c:pt idx="7">
                  <c:v>3.2062653733161098E-2</c:v>
                </c:pt>
                <c:pt idx="8">
                  <c:v>2.9267193440492553E-2</c:v>
                </c:pt>
                <c:pt idx="9">
                  <c:v>2.5362644710901532E-2</c:v>
                </c:pt>
                <c:pt idx="10">
                  <c:v>2.5232986792908651E-2</c:v>
                </c:pt>
                <c:pt idx="11">
                  <c:v>2.4382282315397016E-2</c:v>
                </c:pt>
                <c:pt idx="12">
                  <c:v>2.3932044736288113E-2</c:v>
                </c:pt>
                <c:pt idx="13">
                  <c:v>2.3917191188457497E-2</c:v>
                </c:pt>
                <c:pt idx="14">
                  <c:v>2.0024022648554188E-2</c:v>
                </c:pt>
                <c:pt idx="15">
                  <c:v>1.8356104772860028E-2</c:v>
                </c:pt>
                <c:pt idx="16">
                  <c:v>1.7127326673427951E-2</c:v>
                </c:pt>
                <c:pt idx="17">
                  <c:v>1.5475278938191594E-2</c:v>
                </c:pt>
                <c:pt idx="18">
                  <c:v>1.3597462923666743E-2</c:v>
                </c:pt>
                <c:pt idx="19">
                  <c:v>1.2425373982542565E-2</c:v>
                </c:pt>
                <c:pt idx="20">
                  <c:v>1.2167159455236252E-2</c:v>
                </c:pt>
                <c:pt idx="21">
                  <c:v>1.2096308596857912E-2</c:v>
                </c:pt>
                <c:pt idx="22">
                  <c:v>1.2000720651217942E-2</c:v>
                </c:pt>
                <c:pt idx="23">
                  <c:v>1.1248117362230168E-2</c:v>
                </c:pt>
                <c:pt idx="24">
                  <c:v>1.1068985269714027E-2</c:v>
                </c:pt>
                <c:pt idx="25">
                  <c:v>1.0316367861384209E-2</c:v>
                </c:pt>
                <c:pt idx="26">
                  <c:v>9.591240812014656E-3</c:v>
                </c:pt>
                <c:pt idx="27">
                  <c:v>8.886290302426424E-3</c:v>
                </c:pt>
                <c:pt idx="28">
                  <c:v>8.8824780800744602E-3</c:v>
                </c:pt>
                <c:pt idx="29">
                  <c:v>8.7963500936041796E-3</c:v>
                </c:pt>
                <c:pt idx="30">
                  <c:v>8.737048857018084E-3</c:v>
                </c:pt>
                <c:pt idx="31">
                  <c:v>7.7925495903061132E-3</c:v>
                </c:pt>
                <c:pt idx="32">
                  <c:v>7.722164670215235E-3</c:v>
                </c:pt>
                <c:pt idx="33">
                  <c:v>7.6446071243658478E-3</c:v>
                </c:pt>
                <c:pt idx="34">
                  <c:v>6.7100761131371582E-3</c:v>
                </c:pt>
                <c:pt idx="35">
                  <c:v>5.5384389909583975E-3</c:v>
                </c:pt>
                <c:pt idx="36">
                  <c:v>5.4646089514087089E-3</c:v>
                </c:pt>
                <c:pt idx="37">
                  <c:v>4.9007671462112943E-3</c:v>
                </c:pt>
                <c:pt idx="38">
                  <c:v>4.5348926358171286E-3</c:v>
                </c:pt>
                <c:pt idx="39">
                  <c:v>4.090373390236165E-3</c:v>
                </c:pt>
                <c:pt idx="40">
                  <c:v>4.0864482131478469E-3</c:v>
                </c:pt>
                <c:pt idx="41">
                  <c:v>3.8310575542503957E-3</c:v>
                </c:pt>
                <c:pt idx="42">
                  <c:v>3.7845625608984874E-3</c:v>
                </c:pt>
                <c:pt idx="43">
                  <c:v>3.7479511069775959E-3</c:v>
                </c:pt>
                <c:pt idx="44">
                  <c:v>3.3879926008999954E-3</c:v>
                </c:pt>
                <c:pt idx="45">
                  <c:v>3.1721643384106961E-3</c:v>
                </c:pt>
                <c:pt idx="46">
                  <c:v>3.1609112228013821E-3</c:v>
                </c:pt>
                <c:pt idx="47">
                  <c:v>3.1072718423750543E-3</c:v>
                </c:pt>
                <c:pt idx="48">
                  <c:v>2.9662619733785457E-3</c:v>
                </c:pt>
                <c:pt idx="49">
                  <c:v>2.9613343230050822E-3</c:v>
                </c:pt>
                <c:pt idx="50">
                  <c:v>2.7486405544496191E-3</c:v>
                </c:pt>
                <c:pt idx="51">
                  <c:v>2.5265574234346914E-3</c:v>
                </c:pt>
                <c:pt idx="52">
                  <c:v>2.5245807155484879E-3</c:v>
                </c:pt>
                <c:pt idx="53">
                  <c:v>2.5130734517823769E-3</c:v>
                </c:pt>
                <c:pt idx="54">
                  <c:v>2.5020886036719045E-3</c:v>
                </c:pt>
                <c:pt idx="55">
                  <c:v>2.4996318381561946E-3</c:v>
                </c:pt>
                <c:pt idx="56">
                  <c:v>2.4766173106239718E-3</c:v>
                </c:pt>
                <c:pt idx="57">
                  <c:v>2.4073478185545946E-3</c:v>
                </c:pt>
                <c:pt idx="58">
                  <c:v>2.23879111322964E-3</c:v>
                </c:pt>
                <c:pt idx="59">
                  <c:v>2.1640997938152484E-3</c:v>
                </c:pt>
                <c:pt idx="60">
                  <c:v>2.0553526213899845E-3</c:v>
                </c:pt>
                <c:pt idx="61">
                  <c:v>1.9985081503195988E-3</c:v>
                </c:pt>
                <c:pt idx="62">
                  <c:v>1.9490763338224748E-3</c:v>
                </c:pt>
                <c:pt idx="63">
                  <c:v>1.8798068417530971E-3</c:v>
                </c:pt>
                <c:pt idx="64">
                  <c:v>1.7939330034396131E-3</c:v>
                </c:pt>
                <c:pt idx="65">
                  <c:v>1.7343070219864984E-3</c:v>
                </c:pt>
                <c:pt idx="66">
                  <c:v>1.6829832136554372E-3</c:v>
                </c:pt>
                <c:pt idx="67">
                  <c:v>1.640314561997537E-3</c:v>
                </c:pt>
                <c:pt idx="68">
                  <c:v>1.6149703430280032E-3</c:v>
                </c:pt>
                <c:pt idx="69">
                  <c:v>1.6106215856783563E-3</c:v>
                </c:pt>
                <c:pt idx="70">
                  <c:v>1.5968975852112884E-3</c:v>
                </c:pt>
                <c:pt idx="71">
                  <c:v>1.5642254277207584E-3</c:v>
                </c:pt>
                <c:pt idx="72">
                  <c:v>1.5301836940519308E-3</c:v>
                </c:pt>
                <c:pt idx="73">
                  <c:v>1.5048535944244413E-3</c:v>
                </c:pt>
                <c:pt idx="74">
                  <c:v>1.4527814609650318E-3</c:v>
                </c:pt>
                <c:pt idx="75">
                  <c:v>1.4525837901764114E-3</c:v>
                </c:pt>
                <c:pt idx="76">
                  <c:v>1.4254887727933835E-3</c:v>
                </c:pt>
                <c:pt idx="77">
                  <c:v>1.4202928549210778E-3</c:v>
                </c:pt>
                <c:pt idx="78">
                  <c:v>1.4119342044308474E-3</c:v>
                </c:pt>
                <c:pt idx="79">
                  <c:v>1.2719126893774404E-3</c:v>
                </c:pt>
                <c:pt idx="80">
                  <c:v>1.2715314671422437E-3</c:v>
                </c:pt>
                <c:pt idx="81">
                  <c:v>1.2468084992226596E-3</c:v>
                </c:pt>
                <c:pt idx="82">
                  <c:v>1.2449588654148554E-3</c:v>
                </c:pt>
                <c:pt idx="83">
                  <c:v>1.2184427410556441E-3</c:v>
                </c:pt>
                <c:pt idx="84">
                  <c:v>1.2033774030943667E-3</c:v>
                </c:pt>
                <c:pt idx="85">
                  <c:v>1.0933171318589824E-3</c:v>
                </c:pt>
                <c:pt idx="86">
                  <c:v>1.0892648806922658E-3</c:v>
                </c:pt>
                <c:pt idx="87">
                  <c:v>1.0753855674627106E-3</c:v>
                </c:pt>
                <c:pt idx="88">
                  <c:v>1.0118626476053668E-3</c:v>
                </c:pt>
                <c:pt idx="89">
                  <c:v>9.9140372098316366E-4</c:v>
                </c:pt>
                <c:pt idx="90">
                  <c:v>9.3937394554988694E-4</c:v>
                </c:pt>
                <c:pt idx="91">
                  <c:v>9.3122708519032102E-4</c:v>
                </c:pt>
                <c:pt idx="92">
                  <c:v>9.1877382550724102E-4</c:v>
                </c:pt>
                <c:pt idx="93">
                  <c:v>9.1148824501237769E-4</c:v>
                </c:pt>
                <c:pt idx="94">
                  <c:v>9.0876321199782624E-4</c:v>
                </c:pt>
                <c:pt idx="95">
                  <c:v>8.5935963418479091E-4</c:v>
                </c:pt>
                <c:pt idx="96">
                  <c:v>8.5283649816032044E-4</c:v>
                </c:pt>
                <c:pt idx="97">
                  <c:v>8.4902427580835715E-4</c:v>
                </c:pt>
                <c:pt idx="98">
                  <c:v>8.4829007002205307E-4</c:v>
                </c:pt>
                <c:pt idx="99">
                  <c:v>8.1472839398273177E-4</c:v>
                </c:pt>
                <c:pt idx="100">
                  <c:v>7.9754515471480844E-4</c:v>
                </c:pt>
                <c:pt idx="101">
                  <c:v>7.8310106780348084E-4</c:v>
                </c:pt>
                <c:pt idx="102">
                  <c:v>7.6151259381773326E-4</c:v>
                </c:pt>
                <c:pt idx="103">
                  <c:v>7.5696616567946589E-4</c:v>
                </c:pt>
                <c:pt idx="104">
                  <c:v>7.3088774092362806E-4</c:v>
                </c:pt>
                <c:pt idx="105">
                  <c:v>7.2375747319125235E-4</c:v>
                </c:pt>
                <c:pt idx="106">
                  <c:v>7.2214786819820118E-4</c:v>
                </c:pt>
                <c:pt idx="107">
                  <c:v>7.084097483890891E-4</c:v>
                </c:pt>
                <c:pt idx="108">
                  <c:v>7.0037584276587753E-4</c:v>
                </c:pt>
                <c:pt idx="109">
                  <c:v>6.8259959113209313E-4</c:v>
                </c:pt>
                <c:pt idx="110">
                  <c:v>6.5434678770143184E-4</c:v>
                </c:pt>
                <c:pt idx="111">
                  <c:v>6.4341841695913712E-4</c:v>
                </c:pt>
                <c:pt idx="112">
                  <c:v>6.3418436726215947E-4</c:v>
                </c:pt>
                <c:pt idx="113">
                  <c:v>6.1181932946397476E-4</c:v>
                </c:pt>
                <c:pt idx="114">
                  <c:v>5.6495723321891493E-4</c:v>
                </c:pt>
                <c:pt idx="115">
                  <c:v>5.4441359054444613E-4</c:v>
                </c:pt>
                <c:pt idx="116">
                  <c:v>5.4430063580809167E-4</c:v>
                </c:pt>
                <c:pt idx="117">
                  <c:v>5.320591662556762E-4</c:v>
                </c:pt>
                <c:pt idx="118">
                  <c:v>5.2961652008201088E-4</c:v>
                </c:pt>
                <c:pt idx="119">
                  <c:v>4.9248265050547959E-4</c:v>
                </c:pt>
                <c:pt idx="120">
                  <c:v>4.9078832946016253E-4</c:v>
                </c:pt>
                <c:pt idx="121">
                  <c:v>4.8893869565235816E-4</c:v>
                </c:pt>
                <c:pt idx="122">
                  <c:v>4.7404278979561268E-4</c:v>
                </c:pt>
                <c:pt idx="123">
                  <c:v>4.6540175246449593E-4</c:v>
                </c:pt>
                <c:pt idx="124">
                  <c:v>4.3270135628987745E-4</c:v>
                </c:pt>
                <c:pt idx="125">
                  <c:v>4.3150121221611126E-4</c:v>
                </c:pt>
                <c:pt idx="126">
                  <c:v>4.3004691998554744E-4</c:v>
                </c:pt>
                <c:pt idx="127">
                  <c:v>3.9994448274708179E-4</c:v>
                </c:pt>
                <c:pt idx="128">
                  <c:v>3.8764653582648914E-4</c:v>
                </c:pt>
                <c:pt idx="129">
                  <c:v>3.7618163008651064E-4</c:v>
                </c:pt>
                <c:pt idx="130">
                  <c:v>3.5892779410836569E-4</c:v>
                </c:pt>
                <c:pt idx="131">
                  <c:v>3.4934076086028023E-4</c:v>
                </c:pt>
                <c:pt idx="132">
                  <c:v>3.431000116766959E-4</c:v>
                </c:pt>
                <c:pt idx="133">
                  <c:v>3.3606857933863031E-4</c:v>
                </c:pt>
                <c:pt idx="134">
                  <c:v>3.1971838125132107E-4</c:v>
                </c:pt>
                <c:pt idx="135">
                  <c:v>3.1392945101315462E-4</c:v>
                </c:pt>
                <c:pt idx="136">
                  <c:v>3.0252102264135335E-4</c:v>
                </c:pt>
                <c:pt idx="137">
                  <c:v>2.9685916648158564E-4</c:v>
                </c:pt>
                <c:pt idx="138">
                  <c:v>2.8655204678924043E-4</c:v>
                </c:pt>
                <c:pt idx="139">
                  <c:v>2.7611785301849654E-4</c:v>
                </c:pt>
                <c:pt idx="140">
                  <c:v>2.7378816158118562E-4</c:v>
                </c:pt>
                <c:pt idx="141">
                  <c:v>2.7215031790404584E-4</c:v>
                </c:pt>
                <c:pt idx="142">
                  <c:v>2.5764975362454101E-4</c:v>
                </c:pt>
                <c:pt idx="143">
                  <c:v>2.575791569143195E-4</c:v>
                </c:pt>
                <c:pt idx="144">
                  <c:v>2.5173374930797577E-4</c:v>
                </c:pt>
                <c:pt idx="145">
                  <c:v>2.3932284765102862E-4</c:v>
                </c:pt>
                <c:pt idx="146">
                  <c:v>2.3212198320843132E-4</c:v>
                </c:pt>
                <c:pt idx="147">
                  <c:v>2.2781558388491722E-4</c:v>
                </c:pt>
                <c:pt idx="148">
                  <c:v>2.26982542704303E-4</c:v>
                </c:pt>
                <c:pt idx="149">
                  <c:v>2.2582475665666973E-4</c:v>
                </c:pt>
                <c:pt idx="150">
                  <c:v>2.0907921699211989E-4</c:v>
                </c:pt>
                <c:pt idx="151">
                  <c:v>2.0734253792066993E-4</c:v>
                </c:pt>
                <c:pt idx="152">
                  <c:v>2.0666480950254313E-4</c:v>
                </c:pt>
                <c:pt idx="153">
                  <c:v>2.0522463661402365E-4</c:v>
                </c:pt>
                <c:pt idx="154">
                  <c:v>2.0481517569473872E-4</c:v>
                </c:pt>
                <c:pt idx="155">
                  <c:v>2.0200542662792133E-4</c:v>
                </c:pt>
                <c:pt idx="156">
                  <c:v>1.8854969365969534E-4</c:v>
                </c:pt>
                <c:pt idx="157">
                  <c:v>1.8761781708477099E-4</c:v>
                </c:pt>
                <c:pt idx="158">
                  <c:v>1.8404562354756095E-4</c:v>
                </c:pt>
                <c:pt idx="159">
                  <c:v>1.6073458983240766E-4</c:v>
                </c:pt>
                <c:pt idx="160">
                  <c:v>1.4274654806795866E-4</c:v>
                </c:pt>
                <c:pt idx="161">
                  <c:v>1.3572923507193735E-4</c:v>
                </c:pt>
                <c:pt idx="162">
                  <c:v>1.3251002508583501E-4</c:v>
                </c:pt>
                <c:pt idx="163">
                  <c:v>1.12460559382917E-4</c:v>
                </c:pt>
                <c:pt idx="164">
                  <c:v>1.004732379872991E-4</c:v>
                </c:pt>
                <c:pt idx="165">
                  <c:v>9.5616184324056981E-5</c:v>
                </c:pt>
                <c:pt idx="166">
                  <c:v>8.6890430940674343E-5</c:v>
                </c:pt>
                <c:pt idx="167">
                  <c:v>8.03108175480266E-5</c:v>
                </c:pt>
                <c:pt idx="168">
                  <c:v>7.8065842162981542E-5</c:v>
                </c:pt>
                <c:pt idx="169">
                  <c:v>6.9523640226174923E-5</c:v>
                </c:pt>
                <c:pt idx="170">
                  <c:v>5.9131804481563892E-5</c:v>
                </c:pt>
                <c:pt idx="171">
                  <c:v>5.1592075829903158E-5</c:v>
                </c:pt>
                <c:pt idx="172">
                  <c:v>4.5577236119027753E-5</c:v>
                </c:pt>
                <c:pt idx="173">
                  <c:v>3.36605114336314E-5</c:v>
                </c:pt>
                <c:pt idx="174">
                  <c:v>2.8168087378395405E-5</c:v>
                </c:pt>
                <c:pt idx="175">
                  <c:v>2.5386576995666636E-5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7-457F-B69F-50D0342909FA}"/>
            </c:ext>
          </c:extLst>
        </c:ser>
        <c:ser>
          <c:idx val="1"/>
          <c:order val="1"/>
          <c:tx>
            <c:strRef>
              <c:f>'DADOS CURVA ABC'!$L$12</c:f>
              <c:strCache>
                <c:ptCount val="1"/>
                <c:pt idx="0">
                  <c:v> PORCENTAGEM ACUMULADA (%)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'DADOS CURVA ABC'!$B$13:$B$188</c:f>
              <c:strCache>
                <c:ptCount val="176"/>
                <c:pt idx="0">
                  <c:v>5.2.2.3</c:v>
                </c:pt>
                <c:pt idx="1">
                  <c:v>2.2</c:v>
                </c:pt>
                <c:pt idx="2">
                  <c:v>2.1</c:v>
                </c:pt>
                <c:pt idx="3">
                  <c:v>3.1.2.2</c:v>
                </c:pt>
                <c:pt idx="4">
                  <c:v>3.1.4.2</c:v>
                </c:pt>
                <c:pt idx="5">
                  <c:v>5.3.5.8</c:v>
                </c:pt>
                <c:pt idx="6">
                  <c:v>1.5.3</c:v>
                </c:pt>
                <c:pt idx="7">
                  <c:v>3.3.3.1</c:v>
                </c:pt>
                <c:pt idx="8">
                  <c:v>5.3.5.4</c:v>
                </c:pt>
                <c:pt idx="9">
                  <c:v>1.5.5</c:v>
                </c:pt>
                <c:pt idx="10">
                  <c:v>1.4.1</c:v>
                </c:pt>
                <c:pt idx="11">
                  <c:v>5.1.5.6</c:v>
                </c:pt>
                <c:pt idx="12">
                  <c:v>1.2.6</c:v>
                </c:pt>
                <c:pt idx="13">
                  <c:v>5.3.10.6</c:v>
                </c:pt>
                <c:pt idx="14">
                  <c:v>4.6.14</c:v>
                </c:pt>
                <c:pt idx="15">
                  <c:v>5.1.6.4</c:v>
                </c:pt>
                <c:pt idx="16">
                  <c:v>SINAPI</c:v>
                </c:pt>
                <c:pt idx="17">
                  <c:v>5.3.1.1</c:v>
                </c:pt>
                <c:pt idx="18">
                  <c:v>1.2.5</c:v>
                </c:pt>
                <c:pt idx="19">
                  <c:v>1.5.2</c:v>
                </c:pt>
                <c:pt idx="20">
                  <c:v>1.3.2</c:v>
                </c:pt>
                <c:pt idx="21">
                  <c:v>5.3.2.11</c:v>
                </c:pt>
                <c:pt idx="22">
                  <c:v>3.3.9.1</c:v>
                </c:pt>
                <c:pt idx="23">
                  <c:v>1.6.4</c:v>
                </c:pt>
                <c:pt idx="24">
                  <c:v>5.3.10.8</c:v>
                </c:pt>
                <c:pt idx="25">
                  <c:v>5.1.5.1</c:v>
                </c:pt>
                <c:pt idx="26">
                  <c:v>5.3.14.9</c:v>
                </c:pt>
                <c:pt idx="27">
                  <c:v>1.2</c:v>
                </c:pt>
                <c:pt idx="28">
                  <c:v>3.2.2.1</c:v>
                </c:pt>
                <c:pt idx="29">
                  <c:v>5.2.3.3</c:v>
                </c:pt>
                <c:pt idx="30">
                  <c:v>1.5</c:v>
                </c:pt>
                <c:pt idx="31">
                  <c:v>1.5.1</c:v>
                </c:pt>
                <c:pt idx="32">
                  <c:v>3.3.3.2</c:v>
                </c:pt>
                <c:pt idx="33">
                  <c:v>5.1.1.1</c:v>
                </c:pt>
                <c:pt idx="34">
                  <c:v>1.2.2</c:v>
                </c:pt>
                <c:pt idx="35">
                  <c:v>4.4.3</c:v>
                </c:pt>
                <c:pt idx="36">
                  <c:v>1.6.3</c:v>
                </c:pt>
                <c:pt idx="37">
                  <c:v>3.3.9.9</c:v>
                </c:pt>
                <c:pt idx="38">
                  <c:v>1.4</c:v>
                </c:pt>
                <c:pt idx="39">
                  <c:v>3.1.10.7</c:v>
                </c:pt>
                <c:pt idx="40">
                  <c:v>2.4.8</c:v>
                </c:pt>
                <c:pt idx="41">
                  <c:v>4.2.3</c:v>
                </c:pt>
                <c:pt idx="42">
                  <c:v>4.2.1</c:v>
                </c:pt>
                <c:pt idx="43">
                  <c:v>5.3.7.5</c:v>
                </c:pt>
                <c:pt idx="44">
                  <c:v>1.8.3</c:v>
                </c:pt>
                <c:pt idx="45">
                  <c:v>1.8.5</c:v>
                </c:pt>
                <c:pt idx="47">
                  <c:v>3.1.8.7</c:v>
                </c:pt>
                <c:pt idx="48">
                  <c:v>3.1.11.3</c:v>
                </c:pt>
                <c:pt idx="49">
                  <c:v>1.1</c:v>
                </c:pt>
                <c:pt idx="50">
                  <c:v>3.2.5.2</c:v>
                </c:pt>
                <c:pt idx="51">
                  <c:v>2.3.2</c:v>
                </c:pt>
                <c:pt idx="52">
                  <c:v>1.1</c:v>
                </c:pt>
                <c:pt idx="53">
                  <c:v>5.1.3.1</c:v>
                </c:pt>
                <c:pt idx="54">
                  <c:v>2.3.4</c:v>
                </c:pt>
                <c:pt idx="55">
                  <c:v>5.3.2.1</c:v>
                </c:pt>
                <c:pt idx="56">
                  <c:v>4.2.2</c:v>
                </c:pt>
                <c:pt idx="57">
                  <c:v>3.1.10.6</c:v>
                </c:pt>
                <c:pt idx="58">
                  <c:v>5.3.5.6</c:v>
                </c:pt>
                <c:pt idx="59">
                  <c:v>3.1.10.1</c:v>
                </c:pt>
                <c:pt idx="60">
                  <c:v>5.3.14.10</c:v>
                </c:pt>
                <c:pt idx="61">
                  <c:v>1.8.6</c:v>
                </c:pt>
                <c:pt idx="62">
                  <c:v>3.3.9.7</c:v>
                </c:pt>
                <c:pt idx="63">
                  <c:v>5.3.4.2</c:v>
                </c:pt>
                <c:pt idx="64">
                  <c:v>5.3.2.4</c:v>
                </c:pt>
                <c:pt idx="65">
                  <c:v>3.3.9.8</c:v>
                </c:pt>
                <c:pt idx="66">
                  <c:v>5.3.3.8</c:v>
                </c:pt>
                <c:pt idx="67">
                  <c:v>3.3.8.3</c:v>
                </c:pt>
                <c:pt idx="68">
                  <c:v>3.1.11.11</c:v>
                </c:pt>
                <c:pt idx="69">
                  <c:v>1.6.13</c:v>
                </c:pt>
                <c:pt idx="70">
                  <c:v>5.3.2.9</c:v>
                </c:pt>
                <c:pt idx="71">
                  <c:v>3.2.8.6</c:v>
                </c:pt>
                <c:pt idx="72">
                  <c:v>4.5.9</c:v>
                </c:pt>
                <c:pt idx="73">
                  <c:v>5.3.13.1</c:v>
                </c:pt>
                <c:pt idx="74">
                  <c:v>3.1.1.7</c:v>
                </c:pt>
                <c:pt idx="75">
                  <c:v>1.6.12</c:v>
                </c:pt>
                <c:pt idx="76">
                  <c:v>5.3.5.2</c:v>
                </c:pt>
                <c:pt idx="77">
                  <c:v>4.6.10</c:v>
                </c:pt>
                <c:pt idx="78">
                  <c:v>5.3.2.10</c:v>
                </c:pt>
                <c:pt idx="79">
                  <c:v>3.2.5.1</c:v>
                </c:pt>
                <c:pt idx="80">
                  <c:v>5.3.3.1</c:v>
                </c:pt>
                <c:pt idx="81">
                  <c:v>1.6.2</c:v>
                </c:pt>
                <c:pt idx="82">
                  <c:v>5.3.3.2</c:v>
                </c:pt>
                <c:pt idx="83">
                  <c:v>3.1.11.2</c:v>
                </c:pt>
                <c:pt idx="84">
                  <c:v>5.3.2.12</c:v>
                </c:pt>
                <c:pt idx="85">
                  <c:v>3.1.10.14</c:v>
                </c:pt>
                <c:pt idx="86">
                  <c:v>5.3.2.3</c:v>
                </c:pt>
                <c:pt idx="87">
                  <c:v>3.2.8.11</c:v>
                </c:pt>
                <c:pt idx="88">
                  <c:v>5.3.3.5</c:v>
                </c:pt>
                <c:pt idx="89">
                  <c:v>5.1.6.1</c:v>
                </c:pt>
                <c:pt idx="90">
                  <c:v>5.3.2.6</c:v>
                </c:pt>
                <c:pt idx="91">
                  <c:v>3.3.4.3</c:v>
                </c:pt>
                <c:pt idx="92">
                  <c:v>2.1.3</c:v>
                </c:pt>
                <c:pt idx="93">
                  <c:v>3.1.8.5</c:v>
                </c:pt>
                <c:pt idx="94">
                  <c:v>1.6.19</c:v>
                </c:pt>
                <c:pt idx="95">
                  <c:v>3.1.10.12</c:v>
                </c:pt>
                <c:pt idx="96">
                  <c:v>4.1.5</c:v>
                </c:pt>
                <c:pt idx="97">
                  <c:v>5.1.1.3</c:v>
                </c:pt>
                <c:pt idx="98">
                  <c:v>3.2.4.2</c:v>
                </c:pt>
                <c:pt idx="99">
                  <c:v>3.3.7.4</c:v>
                </c:pt>
                <c:pt idx="100">
                  <c:v>5.3.4.4</c:v>
                </c:pt>
                <c:pt idx="101">
                  <c:v>3.3.7.3</c:v>
                </c:pt>
                <c:pt idx="102">
                  <c:v>3.3.7.2</c:v>
                </c:pt>
                <c:pt idx="103">
                  <c:v>3.3.9.6</c:v>
                </c:pt>
                <c:pt idx="104">
                  <c:v>5.3.3.4</c:v>
                </c:pt>
                <c:pt idx="105">
                  <c:v>5.3.14.3</c:v>
                </c:pt>
                <c:pt idx="106">
                  <c:v>3.3.8.9</c:v>
                </c:pt>
                <c:pt idx="107">
                  <c:v>1.6.5</c:v>
                </c:pt>
                <c:pt idx="108">
                  <c:v>5.3.3.7</c:v>
                </c:pt>
                <c:pt idx="109">
                  <c:v>2.6.2</c:v>
                </c:pt>
                <c:pt idx="110">
                  <c:v>3.1.10.16</c:v>
                </c:pt>
                <c:pt idx="111">
                  <c:v>3.1.11.1</c:v>
                </c:pt>
                <c:pt idx="112">
                  <c:v>2.6.4</c:v>
                </c:pt>
                <c:pt idx="113">
                  <c:v>2.5.2</c:v>
                </c:pt>
                <c:pt idx="114">
                  <c:v>5.3.4.3</c:v>
                </c:pt>
                <c:pt idx="115">
                  <c:v>3.1.10.2</c:v>
                </c:pt>
                <c:pt idx="116">
                  <c:v>5.3.2.8</c:v>
                </c:pt>
                <c:pt idx="117">
                  <c:v>5.3.3.6</c:v>
                </c:pt>
                <c:pt idx="118">
                  <c:v>1.6.16</c:v>
                </c:pt>
                <c:pt idx="119">
                  <c:v>5.3.3.3</c:v>
                </c:pt>
                <c:pt idx="120">
                  <c:v>3.1.11.6</c:v>
                </c:pt>
                <c:pt idx="121">
                  <c:v>5.3.4.1</c:v>
                </c:pt>
                <c:pt idx="122">
                  <c:v>5.3.2.2</c:v>
                </c:pt>
                <c:pt idx="123">
                  <c:v>3.1.8.8</c:v>
                </c:pt>
                <c:pt idx="124">
                  <c:v>5.3.3.9</c:v>
                </c:pt>
                <c:pt idx="125">
                  <c:v>3.1.9.4</c:v>
                </c:pt>
                <c:pt idx="126">
                  <c:v>5.3.2.7</c:v>
                </c:pt>
                <c:pt idx="127">
                  <c:v>3.1.10.9</c:v>
                </c:pt>
                <c:pt idx="128">
                  <c:v>3.1.8.9</c:v>
                </c:pt>
                <c:pt idx="129">
                  <c:v>1.7.1</c:v>
                </c:pt>
                <c:pt idx="130">
                  <c:v>2.5.1</c:v>
                </c:pt>
                <c:pt idx="131">
                  <c:v>3.1.11.12</c:v>
                </c:pt>
                <c:pt idx="132">
                  <c:v>3.2.4.1</c:v>
                </c:pt>
                <c:pt idx="133">
                  <c:v>1.6.18</c:v>
                </c:pt>
                <c:pt idx="134">
                  <c:v>1.7.3</c:v>
                </c:pt>
                <c:pt idx="135">
                  <c:v>5.3.13.2</c:v>
                </c:pt>
                <c:pt idx="136">
                  <c:v>4.6.12</c:v>
                </c:pt>
                <c:pt idx="137">
                  <c:v>1.8.4</c:v>
                </c:pt>
                <c:pt idx="138">
                  <c:v>1.6.14</c:v>
                </c:pt>
                <c:pt idx="139">
                  <c:v>4.6.6</c:v>
                </c:pt>
                <c:pt idx="140">
                  <c:v>3.1.8.1</c:v>
                </c:pt>
                <c:pt idx="141">
                  <c:v>1.7.5</c:v>
                </c:pt>
                <c:pt idx="142">
                  <c:v>4.6.13</c:v>
                </c:pt>
                <c:pt idx="143">
                  <c:v>3.1.9.5</c:v>
                </c:pt>
                <c:pt idx="144">
                  <c:v>3.1.11.5</c:v>
                </c:pt>
                <c:pt idx="145">
                  <c:v>3.1.1.6</c:v>
                </c:pt>
                <c:pt idx="146">
                  <c:v>5.1.5.4</c:v>
                </c:pt>
                <c:pt idx="147">
                  <c:v>5.3.9.4</c:v>
                </c:pt>
                <c:pt idx="148">
                  <c:v>3.1.10.18</c:v>
                </c:pt>
                <c:pt idx="149">
                  <c:v>3.1.8.4</c:v>
                </c:pt>
                <c:pt idx="150">
                  <c:v>5.3.14.11</c:v>
                </c:pt>
                <c:pt idx="151">
                  <c:v>3.1.9.6</c:v>
                </c:pt>
                <c:pt idx="152">
                  <c:v>3.3.7.1</c:v>
                </c:pt>
                <c:pt idx="153">
                  <c:v>2.1.6</c:v>
                </c:pt>
                <c:pt idx="154">
                  <c:v>1.6.8</c:v>
                </c:pt>
                <c:pt idx="155">
                  <c:v>2.1.4</c:v>
                </c:pt>
                <c:pt idx="156">
                  <c:v>3.1.11.13</c:v>
                </c:pt>
                <c:pt idx="157">
                  <c:v>5.1.5.2</c:v>
                </c:pt>
                <c:pt idx="158">
                  <c:v>3.3.8.6</c:v>
                </c:pt>
                <c:pt idx="159">
                  <c:v>3.3.8.4</c:v>
                </c:pt>
                <c:pt idx="160">
                  <c:v>3.1.9.3</c:v>
                </c:pt>
                <c:pt idx="161">
                  <c:v>1.6.15</c:v>
                </c:pt>
                <c:pt idx="162">
                  <c:v>4.6.11</c:v>
                </c:pt>
                <c:pt idx="163">
                  <c:v>5.3.14.2</c:v>
                </c:pt>
                <c:pt idx="164">
                  <c:v>5.3.9.5</c:v>
                </c:pt>
                <c:pt idx="165">
                  <c:v>3.1.11.8</c:v>
                </c:pt>
                <c:pt idx="166">
                  <c:v>3.1.8.6</c:v>
                </c:pt>
                <c:pt idx="167">
                  <c:v>3.3.8.8</c:v>
                </c:pt>
                <c:pt idx="168">
                  <c:v>4.1.7</c:v>
                </c:pt>
                <c:pt idx="169">
                  <c:v>3.1.11.9</c:v>
                </c:pt>
                <c:pt idx="170">
                  <c:v>3.1.11.7</c:v>
                </c:pt>
                <c:pt idx="171">
                  <c:v>3.1.8.3</c:v>
                </c:pt>
                <c:pt idx="172">
                  <c:v>3.3.1.3</c:v>
                </c:pt>
                <c:pt idx="173">
                  <c:v>5.3.2.5</c:v>
                </c:pt>
                <c:pt idx="174">
                  <c:v>2.1.5</c:v>
                </c:pt>
                <c:pt idx="175">
                  <c:v>3.1.8.2</c:v>
                </c:pt>
              </c:strCache>
            </c:strRef>
          </c:cat>
          <c:val>
            <c:numRef>
              <c:f>'DADOS CURVA ABC'!$L$13:$L$188</c:f>
              <c:numCache>
                <c:formatCode>0.00%</c:formatCode>
                <c:ptCount val="176"/>
                <c:pt idx="0">
                  <c:v>9.6476038135213327E-2</c:v>
                </c:pt>
                <c:pt idx="1">
                  <c:v>0.16914207912676954</c:v>
                </c:pt>
                <c:pt idx="2">
                  <c:v>0.23765533923625376</c:v>
                </c:pt>
                <c:pt idx="3">
                  <c:v>0.28693588110271501</c:v>
                </c:pt>
                <c:pt idx="4">
                  <c:v>0.33435643968365336</c:v>
                </c:pt>
                <c:pt idx="5">
                  <c:v>0.37616544932052787</c:v>
                </c:pt>
                <c:pt idx="6">
                  <c:v>0.41259113505814277</c:v>
                </c:pt>
                <c:pt idx="7">
                  <c:v>0.44465378879130385</c:v>
                </c:pt>
                <c:pt idx="8">
                  <c:v>0.47392098223179641</c:v>
                </c:pt>
                <c:pt idx="9">
                  <c:v>0.49928362694269796</c:v>
                </c:pt>
                <c:pt idx="10">
                  <c:v>0.52451661373560665</c:v>
                </c:pt>
                <c:pt idx="11">
                  <c:v>0.54889889605100362</c:v>
                </c:pt>
                <c:pt idx="12">
                  <c:v>0.57283094078729169</c:v>
                </c:pt>
                <c:pt idx="13">
                  <c:v>0.59674813197574916</c:v>
                </c:pt>
                <c:pt idx="14">
                  <c:v>0.61677215462430335</c:v>
                </c:pt>
                <c:pt idx="15">
                  <c:v>0.63512825939716333</c:v>
                </c:pt>
                <c:pt idx="16">
                  <c:v>0.65225558607059131</c:v>
                </c:pt>
                <c:pt idx="17">
                  <c:v>0.66773086500878287</c:v>
                </c:pt>
                <c:pt idx="18">
                  <c:v>0.68132832793244957</c:v>
                </c:pt>
                <c:pt idx="19">
                  <c:v>0.69375370191499219</c:v>
                </c:pt>
                <c:pt idx="20">
                  <c:v>0.70592086137022847</c:v>
                </c:pt>
                <c:pt idx="21">
                  <c:v>0.71801716996708642</c:v>
                </c:pt>
                <c:pt idx="22">
                  <c:v>0.73001789061830435</c:v>
                </c:pt>
                <c:pt idx="23">
                  <c:v>0.74126600798053455</c:v>
                </c:pt>
                <c:pt idx="24">
                  <c:v>0.75233499325024855</c:v>
                </c:pt>
                <c:pt idx="25">
                  <c:v>0.76265136111163279</c:v>
                </c:pt>
                <c:pt idx="26">
                  <c:v>0.77224260192364746</c:v>
                </c:pt>
                <c:pt idx="27">
                  <c:v>0.78112889222607385</c:v>
                </c:pt>
                <c:pt idx="28">
                  <c:v>0.79001137030614832</c:v>
                </c:pt>
                <c:pt idx="29">
                  <c:v>0.79880772039975245</c:v>
                </c:pt>
                <c:pt idx="30">
                  <c:v>0.80754476925677054</c:v>
                </c:pt>
                <c:pt idx="31">
                  <c:v>0.81533731884707661</c:v>
                </c:pt>
                <c:pt idx="32">
                  <c:v>0.82305948351729186</c:v>
                </c:pt>
                <c:pt idx="33">
                  <c:v>0.83070409064165773</c:v>
                </c:pt>
                <c:pt idx="34">
                  <c:v>0.83741416675479485</c:v>
                </c:pt>
                <c:pt idx="35">
                  <c:v>0.84295260574575326</c:v>
                </c:pt>
                <c:pt idx="36">
                  <c:v>0.84841721469716191</c:v>
                </c:pt>
                <c:pt idx="37">
                  <c:v>0.85331798184337326</c:v>
                </c:pt>
                <c:pt idx="38">
                  <c:v>0.85785287447919034</c:v>
                </c:pt>
                <c:pt idx="39">
                  <c:v>0.86194324786942655</c:v>
                </c:pt>
                <c:pt idx="40">
                  <c:v>0.86602969608257441</c:v>
                </c:pt>
                <c:pt idx="41">
                  <c:v>0.8698607536368248</c:v>
                </c:pt>
                <c:pt idx="42">
                  <c:v>0.87364531619772334</c:v>
                </c:pt>
                <c:pt idx="43">
                  <c:v>0.87739326730470091</c:v>
                </c:pt>
                <c:pt idx="44">
                  <c:v>0.88078125990560086</c:v>
                </c:pt>
                <c:pt idx="45">
                  <c:v>0.88395342424401158</c:v>
                </c:pt>
                <c:pt idx="46">
                  <c:v>0.88711433546681295</c:v>
                </c:pt>
                <c:pt idx="47">
                  <c:v>0.89022160730918798</c:v>
                </c:pt>
                <c:pt idx="48">
                  <c:v>0.89318786928256655</c:v>
                </c:pt>
                <c:pt idx="49">
                  <c:v>0.8961492036055716</c:v>
                </c:pt>
                <c:pt idx="50">
                  <c:v>0.89889784416002116</c:v>
                </c:pt>
                <c:pt idx="51">
                  <c:v>0.90142440158345583</c:v>
                </c:pt>
                <c:pt idx="52">
                  <c:v>0.90394898229900433</c:v>
                </c:pt>
                <c:pt idx="53">
                  <c:v>0.90646205575078675</c:v>
                </c:pt>
                <c:pt idx="54">
                  <c:v>0.90896414435445871</c:v>
                </c:pt>
                <c:pt idx="55">
                  <c:v>0.91146377619261487</c:v>
                </c:pt>
                <c:pt idx="56">
                  <c:v>0.91394039350323886</c:v>
                </c:pt>
                <c:pt idx="57">
                  <c:v>0.91634774132179342</c:v>
                </c:pt>
                <c:pt idx="58">
                  <c:v>0.91858653243502308</c:v>
                </c:pt>
                <c:pt idx="59">
                  <c:v>0.92075063222883835</c:v>
                </c:pt>
                <c:pt idx="60">
                  <c:v>0.92280598485022836</c:v>
                </c:pt>
                <c:pt idx="61">
                  <c:v>0.9248044930005479</c:v>
                </c:pt>
                <c:pt idx="62">
                  <c:v>0.92675356933437036</c:v>
                </c:pt>
                <c:pt idx="63">
                  <c:v>0.92863337617612352</c:v>
                </c:pt>
                <c:pt idx="64">
                  <c:v>0.93042730917956318</c:v>
                </c:pt>
                <c:pt idx="65">
                  <c:v>0.93216161620154969</c:v>
                </c:pt>
                <c:pt idx="66">
                  <c:v>0.93384459941520515</c:v>
                </c:pt>
                <c:pt idx="67">
                  <c:v>0.93548491397720268</c:v>
                </c:pt>
                <c:pt idx="68">
                  <c:v>0.93709988432023072</c:v>
                </c:pt>
                <c:pt idx="69">
                  <c:v>0.9387105059059091</c:v>
                </c:pt>
                <c:pt idx="70">
                  <c:v>0.94030740349112041</c:v>
                </c:pt>
                <c:pt idx="71">
                  <c:v>0.94187162891884113</c:v>
                </c:pt>
                <c:pt idx="72">
                  <c:v>0.94340181261289302</c:v>
                </c:pt>
                <c:pt idx="73">
                  <c:v>0.94490666620731745</c:v>
                </c:pt>
                <c:pt idx="74">
                  <c:v>0.94635944766828251</c:v>
                </c:pt>
                <c:pt idx="75">
                  <c:v>0.94781203145845894</c:v>
                </c:pt>
                <c:pt idx="76">
                  <c:v>0.9492375202312523</c:v>
                </c:pt>
                <c:pt idx="77">
                  <c:v>0.95065781308617336</c:v>
                </c:pt>
                <c:pt idx="78">
                  <c:v>0.95206974729060423</c:v>
                </c:pt>
                <c:pt idx="79">
                  <c:v>0.95334165997998166</c:v>
                </c:pt>
                <c:pt idx="80">
                  <c:v>0.95461319144712387</c:v>
                </c:pt>
                <c:pt idx="81">
                  <c:v>0.95585999994634652</c:v>
                </c:pt>
                <c:pt idx="82">
                  <c:v>0.95710495881176139</c:v>
                </c:pt>
                <c:pt idx="83">
                  <c:v>0.95832340155281703</c:v>
                </c:pt>
                <c:pt idx="84">
                  <c:v>0.95952677895591143</c:v>
                </c:pt>
                <c:pt idx="85">
                  <c:v>0.96062009608777044</c:v>
                </c:pt>
                <c:pt idx="86">
                  <c:v>0.96170936096846271</c:v>
                </c:pt>
                <c:pt idx="87">
                  <c:v>0.96278474653592538</c:v>
                </c:pt>
                <c:pt idx="88">
                  <c:v>0.96379660918353072</c:v>
                </c:pt>
                <c:pt idx="89">
                  <c:v>0.96478801290451388</c:v>
                </c:pt>
                <c:pt idx="90">
                  <c:v>0.96572738685006376</c:v>
                </c:pt>
                <c:pt idx="91">
                  <c:v>0.9666586139352541</c:v>
                </c:pt>
                <c:pt idx="92">
                  <c:v>0.9675773877607613</c:v>
                </c:pt>
                <c:pt idx="93">
                  <c:v>0.96848887600577371</c:v>
                </c:pt>
                <c:pt idx="94">
                  <c:v>0.96939763921777156</c:v>
                </c:pt>
                <c:pt idx="95">
                  <c:v>0.97025699885195638</c:v>
                </c:pt>
                <c:pt idx="96">
                  <c:v>0.97110983535011675</c:v>
                </c:pt>
                <c:pt idx="97">
                  <c:v>0.9719588596259251</c:v>
                </c:pt>
                <c:pt idx="98">
                  <c:v>0.97280714969594717</c:v>
                </c:pt>
                <c:pt idx="99">
                  <c:v>0.97362187808992995</c:v>
                </c:pt>
                <c:pt idx="100">
                  <c:v>0.97441942324464481</c:v>
                </c:pt>
                <c:pt idx="101">
                  <c:v>0.97520252431244825</c:v>
                </c:pt>
                <c:pt idx="102">
                  <c:v>0.97596403690626599</c:v>
                </c:pt>
                <c:pt idx="103">
                  <c:v>0.97672100307194543</c:v>
                </c:pt>
                <c:pt idx="104">
                  <c:v>0.9774518908128691</c:v>
                </c:pt>
                <c:pt idx="105">
                  <c:v>0.9781756482860603</c:v>
                </c:pt>
                <c:pt idx="106">
                  <c:v>0.97889779615425854</c:v>
                </c:pt>
                <c:pt idx="107">
                  <c:v>0.97960620590264758</c:v>
                </c:pt>
                <c:pt idx="108">
                  <c:v>0.98030658174541341</c:v>
                </c:pt>
                <c:pt idx="109">
                  <c:v>0.98098918133654545</c:v>
                </c:pt>
                <c:pt idx="110">
                  <c:v>0.98164352812424682</c:v>
                </c:pt>
                <c:pt idx="111">
                  <c:v>0.98228694654120596</c:v>
                </c:pt>
                <c:pt idx="112">
                  <c:v>0.98292113090846811</c:v>
                </c:pt>
                <c:pt idx="113">
                  <c:v>0.98353295023793208</c:v>
                </c:pt>
                <c:pt idx="114">
                  <c:v>0.984097907471151</c:v>
                </c:pt>
                <c:pt idx="115">
                  <c:v>0.98464232106169547</c:v>
                </c:pt>
                <c:pt idx="116">
                  <c:v>0.9851866216975036</c:v>
                </c:pt>
                <c:pt idx="117">
                  <c:v>0.98571868086375924</c:v>
                </c:pt>
                <c:pt idx="118">
                  <c:v>0.98624829738384123</c:v>
                </c:pt>
                <c:pt idx="119">
                  <c:v>0.98674078003434673</c:v>
                </c:pt>
                <c:pt idx="120">
                  <c:v>0.98723156836380688</c:v>
                </c:pt>
                <c:pt idx="121">
                  <c:v>0.98772050705945924</c:v>
                </c:pt>
                <c:pt idx="122">
                  <c:v>0.98819454984925481</c:v>
                </c:pt>
                <c:pt idx="123">
                  <c:v>0.98865995160171927</c:v>
                </c:pt>
                <c:pt idx="124">
                  <c:v>0.98909265295800919</c:v>
                </c:pt>
                <c:pt idx="125">
                  <c:v>0.98952415417022532</c:v>
                </c:pt>
                <c:pt idx="126">
                  <c:v>0.98995420109021082</c:v>
                </c:pt>
                <c:pt idx="127">
                  <c:v>0.99035414557295787</c:v>
                </c:pt>
                <c:pt idx="128">
                  <c:v>0.99074179210878432</c:v>
                </c:pt>
                <c:pt idx="129">
                  <c:v>0.99111797373887078</c:v>
                </c:pt>
                <c:pt idx="130">
                  <c:v>0.99147690153297918</c:v>
                </c:pt>
                <c:pt idx="131">
                  <c:v>0.99182624229383942</c:v>
                </c:pt>
                <c:pt idx="132">
                  <c:v>0.99216934230551612</c:v>
                </c:pt>
                <c:pt idx="133">
                  <c:v>0.99250541088485478</c:v>
                </c:pt>
                <c:pt idx="134">
                  <c:v>0.99282512926610611</c:v>
                </c:pt>
                <c:pt idx="135">
                  <c:v>0.99313905871711927</c:v>
                </c:pt>
                <c:pt idx="136">
                  <c:v>0.99344157973976066</c:v>
                </c:pt>
                <c:pt idx="137">
                  <c:v>0.99373843890624225</c:v>
                </c:pt>
                <c:pt idx="138">
                  <c:v>0.99402499095303154</c:v>
                </c:pt>
                <c:pt idx="139">
                  <c:v>0.99430110880605005</c:v>
                </c:pt>
                <c:pt idx="140">
                  <c:v>0.99457489696763124</c:v>
                </c:pt>
                <c:pt idx="141">
                  <c:v>0.9948470472855353</c:v>
                </c:pt>
                <c:pt idx="142">
                  <c:v>0.99510469703915982</c:v>
                </c:pt>
                <c:pt idx="143">
                  <c:v>0.99536227619607409</c:v>
                </c:pt>
                <c:pt idx="144">
                  <c:v>0.99561400994538207</c:v>
                </c:pt>
                <c:pt idx="145">
                  <c:v>0.99585333279303312</c:v>
                </c:pt>
                <c:pt idx="146">
                  <c:v>0.99608545477624155</c:v>
                </c:pt>
                <c:pt idx="147">
                  <c:v>0.99631327036012651</c:v>
                </c:pt>
                <c:pt idx="148">
                  <c:v>0.99654025290283077</c:v>
                </c:pt>
                <c:pt idx="149">
                  <c:v>0.99676607765948744</c:v>
                </c:pt>
                <c:pt idx="150">
                  <c:v>0.99697515687647953</c:v>
                </c:pt>
                <c:pt idx="151">
                  <c:v>0.99718249941440018</c:v>
                </c:pt>
                <c:pt idx="152">
                  <c:v>0.99738916422390267</c:v>
                </c:pt>
                <c:pt idx="153">
                  <c:v>0.99759438886051666</c:v>
                </c:pt>
                <c:pt idx="154">
                  <c:v>0.99779920403621136</c:v>
                </c:pt>
                <c:pt idx="155">
                  <c:v>0.99800120946283932</c:v>
                </c:pt>
                <c:pt idx="156">
                  <c:v>0.99818975915649899</c:v>
                </c:pt>
                <c:pt idx="157">
                  <c:v>0.99837737697358375</c:v>
                </c:pt>
                <c:pt idx="158">
                  <c:v>0.99856142259713132</c:v>
                </c:pt>
                <c:pt idx="159">
                  <c:v>0.99872215718696378</c:v>
                </c:pt>
                <c:pt idx="160">
                  <c:v>0.99886490373503178</c:v>
                </c:pt>
                <c:pt idx="161">
                  <c:v>0.99900063297010377</c:v>
                </c:pt>
                <c:pt idx="162">
                  <c:v>0.99913314299518963</c:v>
                </c:pt>
                <c:pt idx="163">
                  <c:v>0.99924560355457259</c:v>
                </c:pt>
                <c:pt idx="164">
                  <c:v>0.99934607679255993</c:v>
                </c:pt>
                <c:pt idx="165">
                  <c:v>0.99944169297688401</c:v>
                </c:pt>
                <c:pt idx="166">
                  <c:v>0.99952858340782469</c:v>
                </c:pt>
                <c:pt idx="167">
                  <c:v>0.99960889422537269</c:v>
                </c:pt>
                <c:pt idx="168">
                  <c:v>0.99968696006753566</c:v>
                </c:pt>
                <c:pt idx="169">
                  <c:v>0.99975648370776182</c:v>
                </c:pt>
                <c:pt idx="170">
                  <c:v>0.99981561551224341</c:v>
                </c:pt>
                <c:pt idx="171">
                  <c:v>0.99986720758807335</c:v>
                </c:pt>
                <c:pt idx="172">
                  <c:v>0.99991278482419232</c:v>
                </c:pt>
                <c:pt idx="173">
                  <c:v>0.99994644533562593</c:v>
                </c:pt>
                <c:pt idx="174">
                  <c:v>0.99997461342300431</c:v>
                </c:pt>
                <c:pt idx="17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7-457F-B69F-50D034290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56640"/>
        <c:axId val="202558304"/>
      </c:lineChart>
      <c:catAx>
        <c:axId val="2025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558304"/>
        <c:crosses val="autoZero"/>
        <c:auto val="1"/>
        <c:lblAlgn val="ctr"/>
        <c:lblOffset val="100"/>
        <c:noMultiLvlLbl val="0"/>
      </c:catAx>
      <c:valAx>
        <c:axId val="202558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5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612913</xdr:colOff>
      <xdr:row>1</xdr:row>
      <xdr:rowOff>66261</xdr:rowOff>
    </xdr:from>
    <xdr:to>
      <xdr:col>7</xdr:col>
      <xdr:colOff>240195</xdr:colOff>
      <xdr:row>2</xdr:row>
      <xdr:rowOff>116730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98143D6-C7DC-F545-8D69-F685ED417640}"/>
            </a:ext>
          </a:extLst>
        </xdr:cNvPr>
        <xdr:cNvSpPr txBox="1">
          <a:spLocks noChangeArrowheads="1"/>
        </xdr:cNvSpPr>
      </xdr:nvSpPr>
      <xdr:spPr bwMode="auto">
        <a:xfrm>
          <a:off x="2542761" y="115957"/>
          <a:ext cx="4986130" cy="111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Bef>
              <a:spcPts val="40"/>
            </a:spcBef>
          </a:pP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461962</xdr:colOff>
      <xdr:row>12</xdr:row>
      <xdr:rowOff>171449</xdr:rowOff>
    </xdr:from>
    <xdr:to>
      <xdr:col>21</xdr:col>
      <xdr:colOff>152401</xdr:colOff>
      <xdr:row>23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356153</xdr:colOff>
      <xdr:row>1</xdr:row>
      <xdr:rowOff>82826</xdr:rowOff>
    </xdr:from>
    <xdr:to>
      <xdr:col>3</xdr:col>
      <xdr:colOff>472110</xdr:colOff>
      <xdr:row>2</xdr:row>
      <xdr:rowOff>406036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351C4D85-ABB1-15AD-6DBF-9E8D8BDC0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544" y="381000"/>
          <a:ext cx="795131" cy="836732"/>
        </a:xfrm>
        <a:prstGeom prst="rect">
          <a:avLst/>
        </a:prstGeom>
      </xdr:spPr>
    </xdr:pic>
    <xdr:clientData/>
  </xdr:twoCellAnchor>
  <xdr:twoCellAnchor>
    <xdr:from>
      <xdr:col>3</xdr:col>
      <xdr:colOff>1341783</xdr:colOff>
      <xdr:row>1</xdr:row>
      <xdr:rowOff>66261</xdr:rowOff>
    </xdr:from>
    <xdr:to>
      <xdr:col>6</xdr:col>
      <xdr:colOff>134261</xdr:colOff>
      <xdr:row>3</xdr:row>
      <xdr:rowOff>9056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E6ED89A-E93A-DCCA-5C1F-82E1A221C713}"/>
            </a:ext>
          </a:extLst>
        </xdr:cNvPr>
        <xdr:cNvSpPr txBox="1">
          <a:spLocks noChangeArrowheads="1"/>
        </xdr:cNvSpPr>
      </xdr:nvSpPr>
      <xdr:spPr bwMode="auto">
        <a:xfrm>
          <a:off x="2882348" y="256761"/>
          <a:ext cx="4242435" cy="91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Bef>
              <a:spcPts val="40"/>
            </a:spcBef>
          </a:pPr>
          <a:r>
            <a:rPr lang="pt-PT" sz="1800" b="1" u="heavy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CÂMARA MUNICIPAL DE INDAIATUBA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905" algn="ctr">
            <a:spcBef>
              <a:spcPts val="700"/>
            </a:spcBef>
            <a:spcAft>
              <a:spcPts val="0"/>
            </a:spcAft>
          </a:pPr>
          <a:r>
            <a:rPr lang="pt-PT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 A L Á C I O V O T U R 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700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Rua Humaitá, 1167 Centro – PABX: (19) 3885-7700.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5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CEP: 13.339-140 – Indaiatuba - SP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538370</xdr:colOff>
      <xdr:row>17</xdr:row>
      <xdr:rowOff>124240</xdr:rowOff>
    </xdr:from>
    <xdr:to>
      <xdr:col>3</xdr:col>
      <xdr:colOff>1184495</xdr:colOff>
      <xdr:row>17</xdr:row>
      <xdr:rowOff>514818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696" y="7214153"/>
          <a:ext cx="3553321" cy="381053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1228725</xdr:colOff>
      <xdr:row>0</xdr:row>
      <xdr:rowOff>228600</xdr:rowOff>
    </xdr:from>
    <xdr:to>
      <xdr:col>1</xdr:col>
      <xdr:colOff>371475</xdr:colOff>
      <xdr:row>0</xdr:row>
      <xdr:rowOff>1110654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92C975B6-A3A7-4516-2250-07581C11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8725" y="228600"/>
          <a:ext cx="838200" cy="882054"/>
        </a:xfrm>
        <a:prstGeom prst="rect">
          <a:avLst/>
        </a:prstGeom>
      </xdr:spPr>
    </xdr:pic>
    <xdr:clientData/>
  </xdr:twoCellAnchor>
  <xdr:twoCellAnchor>
    <xdr:from>
      <xdr:col>1</xdr:col>
      <xdr:colOff>457200</xdr:colOff>
      <xdr:row>0</xdr:row>
      <xdr:rowOff>209550</xdr:rowOff>
    </xdr:from>
    <xdr:to>
      <xdr:col>4</xdr:col>
      <xdr:colOff>346710</xdr:colOff>
      <xdr:row>0</xdr:row>
      <xdr:rowOff>1285875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A82D8FB-4DFC-7117-BA91-9D829B7E8940}"/>
            </a:ext>
          </a:extLst>
        </xdr:cNvPr>
        <xdr:cNvSpPr txBox="1">
          <a:spLocks noChangeArrowheads="1"/>
        </xdr:cNvSpPr>
      </xdr:nvSpPr>
      <xdr:spPr bwMode="auto">
        <a:xfrm>
          <a:off x="2638425" y="209550"/>
          <a:ext cx="424243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Bef>
              <a:spcPts val="40"/>
            </a:spcBef>
          </a:pPr>
          <a:r>
            <a:rPr lang="pt-PT" sz="1800" b="1" u="heavy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CÂMARA MUNICIPAL DE INDAIATUBA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905" algn="ctr">
            <a:spcBef>
              <a:spcPts val="700"/>
            </a:spcBef>
            <a:spcAft>
              <a:spcPts val="0"/>
            </a:spcAft>
          </a:pPr>
          <a:r>
            <a:rPr lang="pt-PT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 A L Á C I O V O T U R 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700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Rua Humaitá, 1167 Centro – PABX: (19) 3885-7700.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5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CEP: 13.339-140 – Indaiatuba - SP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212912</xdr:colOff>
      <xdr:row>1</xdr:row>
      <xdr:rowOff>381000</xdr:rowOff>
    </xdr:from>
    <xdr:to>
      <xdr:col>12</xdr:col>
      <xdr:colOff>71755</xdr:colOff>
      <xdr:row>5</xdr:row>
      <xdr:rowOff>15763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470BF23C-7027-8AC2-4CE9-4D877977E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49971" y="425824"/>
          <a:ext cx="643255" cy="676910"/>
        </a:xfrm>
        <a:prstGeom prst="rect">
          <a:avLst/>
        </a:prstGeom>
      </xdr:spPr>
    </xdr:pic>
    <xdr:clientData/>
  </xdr:twoCellAnchor>
  <xdr:twoCellAnchor>
    <xdr:from>
      <xdr:col>11</xdr:col>
      <xdr:colOff>672352</xdr:colOff>
      <xdr:row>1</xdr:row>
      <xdr:rowOff>190500</xdr:rowOff>
    </xdr:from>
    <xdr:to>
      <xdr:col>16</xdr:col>
      <xdr:colOff>470647</xdr:colOff>
      <xdr:row>3</xdr:row>
      <xdr:rowOff>145676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9B55A62-B302-528E-24A7-94201B5A7371}"/>
            </a:ext>
          </a:extLst>
        </xdr:cNvPr>
        <xdr:cNvSpPr txBox="1">
          <a:spLocks noChangeArrowheads="1"/>
        </xdr:cNvSpPr>
      </xdr:nvSpPr>
      <xdr:spPr bwMode="auto">
        <a:xfrm>
          <a:off x="10309411" y="235324"/>
          <a:ext cx="3787589" cy="795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Bef>
              <a:spcPts val="40"/>
            </a:spcBef>
          </a:pPr>
          <a:r>
            <a:rPr lang="pt-PT" sz="1800" b="1" u="heavy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CÂMARA MUNICIPAL DE INDAIATUBA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905" algn="ctr">
            <a:spcBef>
              <a:spcPts val="700"/>
            </a:spcBef>
            <a:spcAft>
              <a:spcPts val="0"/>
            </a:spcAft>
          </a:pPr>
          <a:r>
            <a:rPr lang="pt-PT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 A L Á C I O V O T U R A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700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Rua Humaitá, 1167 Centro – PABX: (19) 3885-7700.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Bef>
              <a:spcPts val="5"/>
            </a:spcBef>
          </a:pPr>
          <a:r>
            <a:rPr lang="pt-PT" sz="1000" b="1" i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CEP: 13.339-140 – Indaiatuba - SP</a:t>
          </a:r>
          <a:endParaRPr lang="pt-B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3"/>
  <sheetViews>
    <sheetView showGridLines="0" tabSelected="1" view="pageBreakPreview" topLeftCell="A122" zoomScale="85" zoomScaleNormal="115" zoomScaleSheetLayoutView="85" workbookViewId="0">
      <selection activeCell="H8" sqref="H8:H10"/>
    </sheetView>
  </sheetViews>
  <sheetFormatPr defaultRowHeight="14.25"/>
  <cols>
    <col min="1" max="1" width="0.85546875" style="1" customWidth="1"/>
    <col min="2" max="2" width="7.140625" style="1" customWidth="1"/>
    <col min="3" max="3" width="10.85546875" style="1" customWidth="1"/>
    <col min="4" max="4" width="10" style="1" customWidth="1"/>
    <col min="5" max="5" width="64.28515625" style="1" customWidth="1"/>
    <col min="6" max="6" width="5.7109375" style="2" customWidth="1"/>
    <col min="7" max="9" width="10.28515625" style="3" customWidth="1"/>
    <col min="10" max="10" width="11.42578125" style="3" customWidth="1"/>
    <col min="11" max="11" width="0.7109375" style="1" customWidth="1"/>
    <col min="12" max="12" width="5.85546875" style="1" customWidth="1"/>
    <col min="13" max="13" width="4" style="1" hidden="1" customWidth="1"/>
    <col min="14" max="15" width="0.42578125" style="1" hidden="1" customWidth="1"/>
    <col min="16" max="16" width="0" style="1" hidden="1" customWidth="1"/>
    <col min="17" max="17" width="19" style="1" hidden="1" customWidth="1"/>
    <col min="18" max="18" width="0" style="1" hidden="1" customWidth="1"/>
    <col min="19" max="259" width="9.140625" style="1"/>
    <col min="260" max="260" width="7.42578125" style="1" customWidth="1"/>
    <col min="261" max="261" width="45.42578125" style="1" customWidth="1"/>
    <col min="262" max="262" width="4.5703125" style="1" customWidth="1"/>
    <col min="263" max="263" width="9.5703125" style="1" customWidth="1"/>
    <col min="264" max="264" width="12.7109375" style="1" customWidth="1"/>
    <col min="265" max="265" width="14" style="1" customWidth="1"/>
    <col min="266" max="267" width="9.140625" style="1"/>
    <col min="268" max="268" width="13.42578125" style="1" customWidth="1"/>
    <col min="269" max="515" width="9.140625" style="1"/>
    <col min="516" max="516" width="7.42578125" style="1" customWidth="1"/>
    <col min="517" max="517" width="45.42578125" style="1" customWidth="1"/>
    <col min="518" max="518" width="4.5703125" style="1" customWidth="1"/>
    <col min="519" max="519" width="9.5703125" style="1" customWidth="1"/>
    <col min="520" max="520" width="12.7109375" style="1" customWidth="1"/>
    <col min="521" max="521" width="14" style="1" customWidth="1"/>
    <col min="522" max="523" width="9.140625" style="1"/>
    <col min="524" max="524" width="13.42578125" style="1" customWidth="1"/>
    <col min="525" max="771" width="9.140625" style="1"/>
    <col min="772" max="772" width="7.42578125" style="1" customWidth="1"/>
    <col min="773" max="773" width="45.42578125" style="1" customWidth="1"/>
    <col min="774" max="774" width="4.5703125" style="1" customWidth="1"/>
    <col min="775" max="775" width="9.5703125" style="1" customWidth="1"/>
    <col min="776" max="776" width="12.7109375" style="1" customWidth="1"/>
    <col min="777" max="777" width="14" style="1" customWidth="1"/>
    <col min="778" max="779" width="9.140625" style="1"/>
    <col min="780" max="780" width="13.42578125" style="1" customWidth="1"/>
    <col min="781" max="1027" width="9.140625" style="1"/>
    <col min="1028" max="1028" width="7.42578125" style="1" customWidth="1"/>
    <col min="1029" max="1029" width="45.42578125" style="1" customWidth="1"/>
    <col min="1030" max="1030" width="4.5703125" style="1" customWidth="1"/>
    <col min="1031" max="1031" width="9.5703125" style="1" customWidth="1"/>
    <col min="1032" max="1032" width="12.7109375" style="1" customWidth="1"/>
    <col min="1033" max="1033" width="14" style="1" customWidth="1"/>
    <col min="1034" max="1035" width="9.140625" style="1"/>
    <col min="1036" max="1036" width="13.42578125" style="1" customWidth="1"/>
    <col min="1037" max="1283" width="9.140625" style="1"/>
    <col min="1284" max="1284" width="7.42578125" style="1" customWidth="1"/>
    <col min="1285" max="1285" width="45.42578125" style="1" customWidth="1"/>
    <col min="1286" max="1286" width="4.5703125" style="1" customWidth="1"/>
    <col min="1287" max="1287" width="9.5703125" style="1" customWidth="1"/>
    <col min="1288" max="1288" width="12.7109375" style="1" customWidth="1"/>
    <col min="1289" max="1289" width="14" style="1" customWidth="1"/>
    <col min="1290" max="1291" width="9.140625" style="1"/>
    <col min="1292" max="1292" width="13.42578125" style="1" customWidth="1"/>
    <col min="1293" max="1539" width="9.140625" style="1"/>
    <col min="1540" max="1540" width="7.42578125" style="1" customWidth="1"/>
    <col min="1541" max="1541" width="45.42578125" style="1" customWidth="1"/>
    <col min="1542" max="1542" width="4.5703125" style="1" customWidth="1"/>
    <col min="1543" max="1543" width="9.5703125" style="1" customWidth="1"/>
    <col min="1544" max="1544" width="12.7109375" style="1" customWidth="1"/>
    <col min="1545" max="1545" width="14" style="1" customWidth="1"/>
    <col min="1546" max="1547" width="9.140625" style="1"/>
    <col min="1548" max="1548" width="13.42578125" style="1" customWidth="1"/>
    <col min="1549" max="1795" width="9.140625" style="1"/>
    <col min="1796" max="1796" width="7.42578125" style="1" customWidth="1"/>
    <col min="1797" max="1797" width="45.42578125" style="1" customWidth="1"/>
    <col min="1798" max="1798" width="4.5703125" style="1" customWidth="1"/>
    <col min="1799" max="1799" width="9.5703125" style="1" customWidth="1"/>
    <col min="1800" max="1800" width="12.7109375" style="1" customWidth="1"/>
    <col min="1801" max="1801" width="14" style="1" customWidth="1"/>
    <col min="1802" max="1803" width="9.140625" style="1"/>
    <col min="1804" max="1804" width="13.42578125" style="1" customWidth="1"/>
    <col min="1805" max="2051" width="9.140625" style="1"/>
    <col min="2052" max="2052" width="7.42578125" style="1" customWidth="1"/>
    <col min="2053" max="2053" width="45.42578125" style="1" customWidth="1"/>
    <col min="2054" max="2054" width="4.5703125" style="1" customWidth="1"/>
    <col min="2055" max="2055" width="9.5703125" style="1" customWidth="1"/>
    <col min="2056" max="2056" width="12.7109375" style="1" customWidth="1"/>
    <col min="2057" max="2057" width="14" style="1" customWidth="1"/>
    <col min="2058" max="2059" width="9.140625" style="1"/>
    <col min="2060" max="2060" width="13.42578125" style="1" customWidth="1"/>
    <col min="2061" max="2307" width="9.140625" style="1"/>
    <col min="2308" max="2308" width="7.42578125" style="1" customWidth="1"/>
    <col min="2309" max="2309" width="45.42578125" style="1" customWidth="1"/>
    <col min="2310" max="2310" width="4.5703125" style="1" customWidth="1"/>
    <col min="2311" max="2311" width="9.5703125" style="1" customWidth="1"/>
    <col min="2312" max="2312" width="12.7109375" style="1" customWidth="1"/>
    <col min="2313" max="2313" width="14" style="1" customWidth="1"/>
    <col min="2314" max="2315" width="9.140625" style="1"/>
    <col min="2316" max="2316" width="13.42578125" style="1" customWidth="1"/>
    <col min="2317" max="2563" width="9.140625" style="1"/>
    <col min="2564" max="2564" width="7.42578125" style="1" customWidth="1"/>
    <col min="2565" max="2565" width="45.42578125" style="1" customWidth="1"/>
    <col min="2566" max="2566" width="4.5703125" style="1" customWidth="1"/>
    <col min="2567" max="2567" width="9.5703125" style="1" customWidth="1"/>
    <col min="2568" max="2568" width="12.7109375" style="1" customWidth="1"/>
    <col min="2569" max="2569" width="14" style="1" customWidth="1"/>
    <col min="2570" max="2571" width="9.140625" style="1"/>
    <col min="2572" max="2572" width="13.42578125" style="1" customWidth="1"/>
    <col min="2573" max="2819" width="9.140625" style="1"/>
    <col min="2820" max="2820" width="7.42578125" style="1" customWidth="1"/>
    <col min="2821" max="2821" width="45.42578125" style="1" customWidth="1"/>
    <col min="2822" max="2822" width="4.5703125" style="1" customWidth="1"/>
    <col min="2823" max="2823" width="9.5703125" style="1" customWidth="1"/>
    <col min="2824" max="2824" width="12.7109375" style="1" customWidth="1"/>
    <col min="2825" max="2825" width="14" style="1" customWidth="1"/>
    <col min="2826" max="2827" width="9.140625" style="1"/>
    <col min="2828" max="2828" width="13.42578125" style="1" customWidth="1"/>
    <col min="2829" max="3075" width="9.140625" style="1"/>
    <col min="3076" max="3076" width="7.42578125" style="1" customWidth="1"/>
    <col min="3077" max="3077" width="45.42578125" style="1" customWidth="1"/>
    <col min="3078" max="3078" width="4.5703125" style="1" customWidth="1"/>
    <col min="3079" max="3079" width="9.5703125" style="1" customWidth="1"/>
    <col min="3080" max="3080" width="12.7109375" style="1" customWidth="1"/>
    <col min="3081" max="3081" width="14" style="1" customWidth="1"/>
    <col min="3082" max="3083" width="9.140625" style="1"/>
    <col min="3084" max="3084" width="13.42578125" style="1" customWidth="1"/>
    <col min="3085" max="3331" width="9.140625" style="1"/>
    <col min="3332" max="3332" width="7.42578125" style="1" customWidth="1"/>
    <col min="3333" max="3333" width="45.42578125" style="1" customWidth="1"/>
    <col min="3334" max="3334" width="4.5703125" style="1" customWidth="1"/>
    <col min="3335" max="3335" width="9.5703125" style="1" customWidth="1"/>
    <col min="3336" max="3336" width="12.7109375" style="1" customWidth="1"/>
    <col min="3337" max="3337" width="14" style="1" customWidth="1"/>
    <col min="3338" max="3339" width="9.140625" style="1"/>
    <col min="3340" max="3340" width="13.42578125" style="1" customWidth="1"/>
    <col min="3341" max="3587" width="9.140625" style="1"/>
    <col min="3588" max="3588" width="7.42578125" style="1" customWidth="1"/>
    <col min="3589" max="3589" width="45.42578125" style="1" customWidth="1"/>
    <col min="3590" max="3590" width="4.5703125" style="1" customWidth="1"/>
    <col min="3591" max="3591" width="9.5703125" style="1" customWidth="1"/>
    <col min="3592" max="3592" width="12.7109375" style="1" customWidth="1"/>
    <col min="3593" max="3593" width="14" style="1" customWidth="1"/>
    <col min="3594" max="3595" width="9.140625" style="1"/>
    <col min="3596" max="3596" width="13.42578125" style="1" customWidth="1"/>
    <col min="3597" max="3843" width="9.140625" style="1"/>
    <col min="3844" max="3844" width="7.42578125" style="1" customWidth="1"/>
    <col min="3845" max="3845" width="45.42578125" style="1" customWidth="1"/>
    <col min="3846" max="3846" width="4.5703125" style="1" customWidth="1"/>
    <col min="3847" max="3847" width="9.5703125" style="1" customWidth="1"/>
    <col min="3848" max="3848" width="12.7109375" style="1" customWidth="1"/>
    <col min="3849" max="3849" width="14" style="1" customWidth="1"/>
    <col min="3850" max="3851" width="9.140625" style="1"/>
    <col min="3852" max="3852" width="13.42578125" style="1" customWidth="1"/>
    <col min="3853" max="4099" width="9.140625" style="1"/>
    <col min="4100" max="4100" width="7.42578125" style="1" customWidth="1"/>
    <col min="4101" max="4101" width="45.42578125" style="1" customWidth="1"/>
    <col min="4102" max="4102" width="4.5703125" style="1" customWidth="1"/>
    <col min="4103" max="4103" width="9.5703125" style="1" customWidth="1"/>
    <col min="4104" max="4104" width="12.7109375" style="1" customWidth="1"/>
    <col min="4105" max="4105" width="14" style="1" customWidth="1"/>
    <col min="4106" max="4107" width="9.140625" style="1"/>
    <col min="4108" max="4108" width="13.42578125" style="1" customWidth="1"/>
    <col min="4109" max="4355" width="9.140625" style="1"/>
    <col min="4356" max="4356" width="7.42578125" style="1" customWidth="1"/>
    <col min="4357" max="4357" width="45.42578125" style="1" customWidth="1"/>
    <col min="4358" max="4358" width="4.5703125" style="1" customWidth="1"/>
    <col min="4359" max="4359" width="9.5703125" style="1" customWidth="1"/>
    <col min="4360" max="4360" width="12.7109375" style="1" customWidth="1"/>
    <col min="4361" max="4361" width="14" style="1" customWidth="1"/>
    <col min="4362" max="4363" width="9.140625" style="1"/>
    <col min="4364" max="4364" width="13.42578125" style="1" customWidth="1"/>
    <col min="4365" max="4611" width="9.140625" style="1"/>
    <col min="4612" max="4612" width="7.42578125" style="1" customWidth="1"/>
    <col min="4613" max="4613" width="45.42578125" style="1" customWidth="1"/>
    <col min="4614" max="4614" width="4.5703125" style="1" customWidth="1"/>
    <col min="4615" max="4615" width="9.5703125" style="1" customWidth="1"/>
    <col min="4616" max="4616" width="12.7109375" style="1" customWidth="1"/>
    <col min="4617" max="4617" width="14" style="1" customWidth="1"/>
    <col min="4618" max="4619" width="9.140625" style="1"/>
    <col min="4620" max="4620" width="13.42578125" style="1" customWidth="1"/>
    <col min="4621" max="4867" width="9.140625" style="1"/>
    <col min="4868" max="4868" width="7.42578125" style="1" customWidth="1"/>
    <col min="4869" max="4869" width="45.42578125" style="1" customWidth="1"/>
    <col min="4870" max="4870" width="4.5703125" style="1" customWidth="1"/>
    <col min="4871" max="4871" width="9.5703125" style="1" customWidth="1"/>
    <col min="4872" max="4872" width="12.7109375" style="1" customWidth="1"/>
    <col min="4873" max="4873" width="14" style="1" customWidth="1"/>
    <col min="4874" max="4875" width="9.140625" style="1"/>
    <col min="4876" max="4876" width="13.42578125" style="1" customWidth="1"/>
    <col min="4877" max="5123" width="9.140625" style="1"/>
    <col min="5124" max="5124" width="7.42578125" style="1" customWidth="1"/>
    <col min="5125" max="5125" width="45.42578125" style="1" customWidth="1"/>
    <col min="5126" max="5126" width="4.5703125" style="1" customWidth="1"/>
    <col min="5127" max="5127" width="9.5703125" style="1" customWidth="1"/>
    <col min="5128" max="5128" width="12.7109375" style="1" customWidth="1"/>
    <col min="5129" max="5129" width="14" style="1" customWidth="1"/>
    <col min="5130" max="5131" width="9.140625" style="1"/>
    <col min="5132" max="5132" width="13.42578125" style="1" customWidth="1"/>
    <col min="5133" max="5379" width="9.140625" style="1"/>
    <col min="5380" max="5380" width="7.42578125" style="1" customWidth="1"/>
    <col min="5381" max="5381" width="45.42578125" style="1" customWidth="1"/>
    <col min="5382" max="5382" width="4.5703125" style="1" customWidth="1"/>
    <col min="5383" max="5383" width="9.5703125" style="1" customWidth="1"/>
    <col min="5384" max="5384" width="12.7109375" style="1" customWidth="1"/>
    <col min="5385" max="5385" width="14" style="1" customWidth="1"/>
    <col min="5386" max="5387" width="9.140625" style="1"/>
    <col min="5388" max="5388" width="13.42578125" style="1" customWidth="1"/>
    <col min="5389" max="5635" width="9.140625" style="1"/>
    <col min="5636" max="5636" width="7.42578125" style="1" customWidth="1"/>
    <col min="5637" max="5637" width="45.42578125" style="1" customWidth="1"/>
    <col min="5638" max="5638" width="4.5703125" style="1" customWidth="1"/>
    <col min="5639" max="5639" width="9.5703125" style="1" customWidth="1"/>
    <col min="5640" max="5640" width="12.7109375" style="1" customWidth="1"/>
    <col min="5641" max="5641" width="14" style="1" customWidth="1"/>
    <col min="5642" max="5643" width="9.140625" style="1"/>
    <col min="5644" max="5644" width="13.42578125" style="1" customWidth="1"/>
    <col min="5645" max="5891" width="9.140625" style="1"/>
    <col min="5892" max="5892" width="7.42578125" style="1" customWidth="1"/>
    <col min="5893" max="5893" width="45.42578125" style="1" customWidth="1"/>
    <col min="5894" max="5894" width="4.5703125" style="1" customWidth="1"/>
    <col min="5895" max="5895" width="9.5703125" style="1" customWidth="1"/>
    <col min="5896" max="5896" width="12.7109375" style="1" customWidth="1"/>
    <col min="5897" max="5897" width="14" style="1" customWidth="1"/>
    <col min="5898" max="5899" width="9.140625" style="1"/>
    <col min="5900" max="5900" width="13.42578125" style="1" customWidth="1"/>
    <col min="5901" max="6147" width="9.140625" style="1"/>
    <col min="6148" max="6148" width="7.42578125" style="1" customWidth="1"/>
    <col min="6149" max="6149" width="45.42578125" style="1" customWidth="1"/>
    <col min="6150" max="6150" width="4.5703125" style="1" customWidth="1"/>
    <col min="6151" max="6151" width="9.5703125" style="1" customWidth="1"/>
    <col min="6152" max="6152" width="12.7109375" style="1" customWidth="1"/>
    <col min="6153" max="6153" width="14" style="1" customWidth="1"/>
    <col min="6154" max="6155" width="9.140625" style="1"/>
    <col min="6156" max="6156" width="13.42578125" style="1" customWidth="1"/>
    <col min="6157" max="6403" width="9.140625" style="1"/>
    <col min="6404" max="6404" width="7.42578125" style="1" customWidth="1"/>
    <col min="6405" max="6405" width="45.42578125" style="1" customWidth="1"/>
    <col min="6406" max="6406" width="4.5703125" style="1" customWidth="1"/>
    <col min="6407" max="6407" width="9.5703125" style="1" customWidth="1"/>
    <col min="6408" max="6408" width="12.7109375" style="1" customWidth="1"/>
    <col min="6409" max="6409" width="14" style="1" customWidth="1"/>
    <col min="6410" max="6411" width="9.140625" style="1"/>
    <col min="6412" max="6412" width="13.42578125" style="1" customWidth="1"/>
    <col min="6413" max="6659" width="9.140625" style="1"/>
    <col min="6660" max="6660" width="7.42578125" style="1" customWidth="1"/>
    <col min="6661" max="6661" width="45.42578125" style="1" customWidth="1"/>
    <col min="6662" max="6662" width="4.5703125" style="1" customWidth="1"/>
    <col min="6663" max="6663" width="9.5703125" style="1" customWidth="1"/>
    <col min="6664" max="6664" width="12.7109375" style="1" customWidth="1"/>
    <col min="6665" max="6665" width="14" style="1" customWidth="1"/>
    <col min="6666" max="6667" width="9.140625" style="1"/>
    <col min="6668" max="6668" width="13.42578125" style="1" customWidth="1"/>
    <col min="6669" max="6915" width="9.140625" style="1"/>
    <col min="6916" max="6916" width="7.42578125" style="1" customWidth="1"/>
    <col min="6917" max="6917" width="45.42578125" style="1" customWidth="1"/>
    <col min="6918" max="6918" width="4.5703125" style="1" customWidth="1"/>
    <col min="6919" max="6919" width="9.5703125" style="1" customWidth="1"/>
    <col min="6920" max="6920" width="12.7109375" style="1" customWidth="1"/>
    <col min="6921" max="6921" width="14" style="1" customWidth="1"/>
    <col min="6922" max="6923" width="9.140625" style="1"/>
    <col min="6924" max="6924" width="13.42578125" style="1" customWidth="1"/>
    <col min="6925" max="7171" width="9.140625" style="1"/>
    <col min="7172" max="7172" width="7.42578125" style="1" customWidth="1"/>
    <col min="7173" max="7173" width="45.42578125" style="1" customWidth="1"/>
    <col min="7174" max="7174" width="4.5703125" style="1" customWidth="1"/>
    <col min="7175" max="7175" width="9.5703125" style="1" customWidth="1"/>
    <col min="7176" max="7176" width="12.7109375" style="1" customWidth="1"/>
    <col min="7177" max="7177" width="14" style="1" customWidth="1"/>
    <col min="7178" max="7179" width="9.140625" style="1"/>
    <col min="7180" max="7180" width="13.42578125" style="1" customWidth="1"/>
    <col min="7181" max="7427" width="9.140625" style="1"/>
    <col min="7428" max="7428" width="7.42578125" style="1" customWidth="1"/>
    <col min="7429" max="7429" width="45.42578125" style="1" customWidth="1"/>
    <col min="7430" max="7430" width="4.5703125" style="1" customWidth="1"/>
    <col min="7431" max="7431" width="9.5703125" style="1" customWidth="1"/>
    <col min="7432" max="7432" width="12.7109375" style="1" customWidth="1"/>
    <col min="7433" max="7433" width="14" style="1" customWidth="1"/>
    <col min="7434" max="7435" width="9.140625" style="1"/>
    <col min="7436" max="7436" width="13.42578125" style="1" customWidth="1"/>
    <col min="7437" max="7683" width="9.140625" style="1"/>
    <col min="7684" max="7684" width="7.42578125" style="1" customWidth="1"/>
    <col min="7685" max="7685" width="45.42578125" style="1" customWidth="1"/>
    <col min="7686" max="7686" width="4.5703125" style="1" customWidth="1"/>
    <col min="7687" max="7687" width="9.5703125" style="1" customWidth="1"/>
    <col min="7688" max="7688" width="12.7109375" style="1" customWidth="1"/>
    <col min="7689" max="7689" width="14" style="1" customWidth="1"/>
    <col min="7690" max="7691" width="9.140625" style="1"/>
    <col min="7692" max="7692" width="13.42578125" style="1" customWidth="1"/>
    <col min="7693" max="7939" width="9.140625" style="1"/>
    <col min="7940" max="7940" width="7.42578125" style="1" customWidth="1"/>
    <col min="7941" max="7941" width="45.42578125" style="1" customWidth="1"/>
    <col min="7942" max="7942" width="4.5703125" style="1" customWidth="1"/>
    <col min="7943" max="7943" width="9.5703125" style="1" customWidth="1"/>
    <col min="7944" max="7944" width="12.7109375" style="1" customWidth="1"/>
    <col min="7945" max="7945" width="14" style="1" customWidth="1"/>
    <col min="7946" max="7947" width="9.140625" style="1"/>
    <col min="7948" max="7948" width="13.42578125" style="1" customWidth="1"/>
    <col min="7949" max="8195" width="9.140625" style="1"/>
    <col min="8196" max="8196" width="7.42578125" style="1" customWidth="1"/>
    <col min="8197" max="8197" width="45.42578125" style="1" customWidth="1"/>
    <col min="8198" max="8198" width="4.5703125" style="1" customWidth="1"/>
    <col min="8199" max="8199" width="9.5703125" style="1" customWidth="1"/>
    <col min="8200" max="8200" width="12.7109375" style="1" customWidth="1"/>
    <col min="8201" max="8201" width="14" style="1" customWidth="1"/>
    <col min="8202" max="8203" width="9.140625" style="1"/>
    <col min="8204" max="8204" width="13.42578125" style="1" customWidth="1"/>
    <col min="8205" max="8451" width="9.140625" style="1"/>
    <col min="8452" max="8452" width="7.42578125" style="1" customWidth="1"/>
    <col min="8453" max="8453" width="45.42578125" style="1" customWidth="1"/>
    <col min="8454" max="8454" width="4.5703125" style="1" customWidth="1"/>
    <col min="8455" max="8455" width="9.5703125" style="1" customWidth="1"/>
    <col min="8456" max="8456" width="12.7109375" style="1" customWidth="1"/>
    <col min="8457" max="8457" width="14" style="1" customWidth="1"/>
    <col min="8458" max="8459" width="9.140625" style="1"/>
    <col min="8460" max="8460" width="13.42578125" style="1" customWidth="1"/>
    <col min="8461" max="8707" width="9.140625" style="1"/>
    <col min="8708" max="8708" width="7.42578125" style="1" customWidth="1"/>
    <col min="8709" max="8709" width="45.42578125" style="1" customWidth="1"/>
    <col min="8710" max="8710" width="4.5703125" style="1" customWidth="1"/>
    <col min="8711" max="8711" width="9.5703125" style="1" customWidth="1"/>
    <col min="8712" max="8712" width="12.7109375" style="1" customWidth="1"/>
    <col min="8713" max="8713" width="14" style="1" customWidth="1"/>
    <col min="8714" max="8715" width="9.140625" style="1"/>
    <col min="8716" max="8716" width="13.42578125" style="1" customWidth="1"/>
    <col min="8717" max="8963" width="9.140625" style="1"/>
    <col min="8964" max="8964" width="7.42578125" style="1" customWidth="1"/>
    <col min="8965" max="8965" width="45.42578125" style="1" customWidth="1"/>
    <col min="8966" max="8966" width="4.5703125" style="1" customWidth="1"/>
    <col min="8967" max="8967" width="9.5703125" style="1" customWidth="1"/>
    <col min="8968" max="8968" width="12.7109375" style="1" customWidth="1"/>
    <col min="8969" max="8969" width="14" style="1" customWidth="1"/>
    <col min="8970" max="8971" width="9.140625" style="1"/>
    <col min="8972" max="8972" width="13.42578125" style="1" customWidth="1"/>
    <col min="8973" max="9219" width="9.140625" style="1"/>
    <col min="9220" max="9220" width="7.42578125" style="1" customWidth="1"/>
    <col min="9221" max="9221" width="45.42578125" style="1" customWidth="1"/>
    <col min="9222" max="9222" width="4.5703125" style="1" customWidth="1"/>
    <col min="9223" max="9223" width="9.5703125" style="1" customWidth="1"/>
    <col min="9224" max="9224" width="12.7109375" style="1" customWidth="1"/>
    <col min="9225" max="9225" width="14" style="1" customWidth="1"/>
    <col min="9226" max="9227" width="9.140625" style="1"/>
    <col min="9228" max="9228" width="13.42578125" style="1" customWidth="1"/>
    <col min="9229" max="9475" width="9.140625" style="1"/>
    <col min="9476" max="9476" width="7.42578125" style="1" customWidth="1"/>
    <col min="9477" max="9477" width="45.42578125" style="1" customWidth="1"/>
    <col min="9478" max="9478" width="4.5703125" style="1" customWidth="1"/>
    <col min="9479" max="9479" width="9.5703125" style="1" customWidth="1"/>
    <col min="9480" max="9480" width="12.7109375" style="1" customWidth="1"/>
    <col min="9481" max="9481" width="14" style="1" customWidth="1"/>
    <col min="9482" max="9483" width="9.140625" style="1"/>
    <col min="9484" max="9484" width="13.42578125" style="1" customWidth="1"/>
    <col min="9485" max="9731" width="9.140625" style="1"/>
    <col min="9732" max="9732" width="7.42578125" style="1" customWidth="1"/>
    <col min="9733" max="9733" width="45.42578125" style="1" customWidth="1"/>
    <col min="9734" max="9734" width="4.5703125" style="1" customWidth="1"/>
    <col min="9735" max="9735" width="9.5703125" style="1" customWidth="1"/>
    <col min="9736" max="9736" width="12.7109375" style="1" customWidth="1"/>
    <col min="9737" max="9737" width="14" style="1" customWidth="1"/>
    <col min="9738" max="9739" width="9.140625" style="1"/>
    <col min="9740" max="9740" width="13.42578125" style="1" customWidth="1"/>
    <col min="9741" max="9987" width="9.140625" style="1"/>
    <col min="9988" max="9988" width="7.42578125" style="1" customWidth="1"/>
    <col min="9989" max="9989" width="45.42578125" style="1" customWidth="1"/>
    <col min="9990" max="9990" width="4.5703125" style="1" customWidth="1"/>
    <col min="9991" max="9991" width="9.5703125" style="1" customWidth="1"/>
    <col min="9992" max="9992" width="12.7109375" style="1" customWidth="1"/>
    <col min="9993" max="9993" width="14" style="1" customWidth="1"/>
    <col min="9994" max="9995" width="9.140625" style="1"/>
    <col min="9996" max="9996" width="13.42578125" style="1" customWidth="1"/>
    <col min="9997" max="10243" width="9.140625" style="1"/>
    <col min="10244" max="10244" width="7.42578125" style="1" customWidth="1"/>
    <col min="10245" max="10245" width="45.42578125" style="1" customWidth="1"/>
    <col min="10246" max="10246" width="4.5703125" style="1" customWidth="1"/>
    <col min="10247" max="10247" width="9.5703125" style="1" customWidth="1"/>
    <col min="10248" max="10248" width="12.7109375" style="1" customWidth="1"/>
    <col min="10249" max="10249" width="14" style="1" customWidth="1"/>
    <col min="10250" max="10251" width="9.140625" style="1"/>
    <col min="10252" max="10252" width="13.42578125" style="1" customWidth="1"/>
    <col min="10253" max="10499" width="9.140625" style="1"/>
    <col min="10500" max="10500" width="7.42578125" style="1" customWidth="1"/>
    <col min="10501" max="10501" width="45.42578125" style="1" customWidth="1"/>
    <col min="10502" max="10502" width="4.5703125" style="1" customWidth="1"/>
    <col min="10503" max="10503" width="9.5703125" style="1" customWidth="1"/>
    <col min="10504" max="10504" width="12.7109375" style="1" customWidth="1"/>
    <col min="10505" max="10505" width="14" style="1" customWidth="1"/>
    <col min="10506" max="10507" width="9.140625" style="1"/>
    <col min="10508" max="10508" width="13.42578125" style="1" customWidth="1"/>
    <col min="10509" max="10755" width="9.140625" style="1"/>
    <col min="10756" max="10756" width="7.42578125" style="1" customWidth="1"/>
    <col min="10757" max="10757" width="45.42578125" style="1" customWidth="1"/>
    <col min="10758" max="10758" width="4.5703125" style="1" customWidth="1"/>
    <col min="10759" max="10759" width="9.5703125" style="1" customWidth="1"/>
    <col min="10760" max="10760" width="12.7109375" style="1" customWidth="1"/>
    <col min="10761" max="10761" width="14" style="1" customWidth="1"/>
    <col min="10762" max="10763" width="9.140625" style="1"/>
    <col min="10764" max="10764" width="13.42578125" style="1" customWidth="1"/>
    <col min="10765" max="11011" width="9.140625" style="1"/>
    <col min="11012" max="11012" width="7.42578125" style="1" customWidth="1"/>
    <col min="11013" max="11013" width="45.42578125" style="1" customWidth="1"/>
    <col min="11014" max="11014" width="4.5703125" style="1" customWidth="1"/>
    <col min="11015" max="11015" width="9.5703125" style="1" customWidth="1"/>
    <col min="11016" max="11016" width="12.7109375" style="1" customWidth="1"/>
    <col min="11017" max="11017" width="14" style="1" customWidth="1"/>
    <col min="11018" max="11019" width="9.140625" style="1"/>
    <col min="11020" max="11020" width="13.42578125" style="1" customWidth="1"/>
    <col min="11021" max="11267" width="9.140625" style="1"/>
    <col min="11268" max="11268" width="7.42578125" style="1" customWidth="1"/>
    <col min="11269" max="11269" width="45.42578125" style="1" customWidth="1"/>
    <col min="11270" max="11270" width="4.5703125" style="1" customWidth="1"/>
    <col min="11271" max="11271" width="9.5703125" style="1" customWidth="1"/>
    <col min="11272" max="11272" width="12.7109375" style="1" customWidth="1"/>
    <col min="11273" max="11273" width="14" style="1" customWidth="1"/>
    <col min="11274" max="11275" width="9.140625" style="1"/>
    <col min="11276" max="11276" width="13.42578125" style="1" customWidth="1"/>
    <col min="11277" max="11523" width="9.140625" style="1"/>
    <col min="11524" max="11524" width="7.42578125" style="1" customWidth="1"/>
    <col min="11525" max="11525" width="45.42578125" style="1" customWidth="1"/>
    <col min="11526" max="11526" width="4.5703125" style="1" customWidth="1"/>
    <col min="11527" max="11527" width="9.5703125" style="1" customWidth="1"/>
    <col min="11528" max="11528" width="12.7109375" style="1" customWidth="1"/>
    <col min="11529" max="11529" width="14" style="1" customWidth="1"/>
    <col min="11530" max="11531" width="9.140625" style="1"/>
    <col min="11532" max="11532" width="13.42578125" style="1" customWidth="1"/>
    <col min="11533" max="11779" width="9.140625" style="1"/>
    <col min="11780" max="11780" width="7.42578125" style="1" customWidth="1"/>
    <col min="11781" max="11781" width="45.42578125" style="1" customWidth="1"/>
    <col min="11782" max="11782" width="4.5703125" style="1" customWidth="1"/>
    <col min="11783" max="11783" width="9.5703125" style="1" customWidth="1"/>
    <col min="11784" max="11784" width="12.7109375" style="1" customWidth="1"/>
    <col min="11785" max="11785" width="14" style="1" customWidth="1"/>
    <col min="11786" max="11787" width="9.140625" style="1"/>
    <col min="11788" max="11788" width="13.42578125" style="1" customWidth="1"/>
    <col min="11789" max="12035" width="9.140625" style="1"/>
    <col min="12036" max="12036" width="7.42578125" style="1" customWidth="1"/>
    <col min="12037" max="12037" width="45.42578125" style="1" customWidth="1"/>
    <col min="12038" max="12038" width="4.5703125" style="1" customWidth="1"/>
    <col min="12039" max="12039" width="9.5703125" style="1" customWidth="1"/>
    <col min="12040" max="12040" width="12.7109375" style="1" customWidth="1"/>
    <col min="12041" max="12041" width="14" style="1" customWidth="1"/>
    <col min="12042" max="12043" width="9.140625" style="1"/>
    <col min="12044" max="12044" width="13.42578125" style="1" customWidth="1"/>
    <col min="12045" max="12291" width="9.140625" style="1"/>
    <col min="12292" max="12292" width="7.42578125" style="1" customWidth="1"/>
    <col min="12293" max="12293" width="45.42578125" style="1" customWidth="1"/>
    <col min="12294" max="12294" width="4.5703125" style="1" customWidth="1"/>
    <col min="12295" max="12295" width="9.5703125" style="1" customWidth="1"/>
    <col min="12296" max="12296" width="12.7109375" style="1" customWidth="1"/>
    <col min="12297" max="12297" width="14" style="1" customWidth="1"/>
    <col min="12298" max="12299" width="9.140625" style="1"/>
    <col min="12300" max="12300" width="13.42578125" style="1" customWidth="1"/>
    <col min="12301" max="12547" width="9.140625" style="1"/>
    <col min="12548" max="12548" width="7.42578125" style="1" customWidth="1"/>
    <col min="12549" max="12549" width="45.42578125" style="1" customWidth="1"/>
    <col min="12550" max="12550" width="4.5703125" style="1" customWidth="1"/>
    <col min="12551" max="12551" width="9.5703125" style="1" customWidth="1"/>
    <col min="12552" max="12552" width="12.7109375" style="1" customWidth="1"/>
    <col min="12553" max="12553" width="14" style="1" customWidth="1"/>
    <col min="12554" max="12555" width="9.140625" style="1"/>
    <col min="12556" max="12556" width="13.42578125" style="1" customWidth="1"/>
    <col min="12557" max="12803" width="9.140625" style="1"/>
    <col min="12804" max="12804" width="7.42578125" style="1" customWidth="1"/>
    <col min="12805" max="12805" width="45.42578125" style="1" customWidth="1"/>
    <col min="12806" max="12806" width="4.5703125" style="1" customWidth="1"/>
    <col min="12807" max="12807" width="9.5703125" style="1" customWidth="1"/>
    <col min="12808" max="12808" width="12.7109375" style="1" customWidth="1"/>
    <col min="12809" max="12809" width="14" style="1" customWidth="1"/>
    <col min="12810" max="12811" width="9.140625" style="1"/>
    <col min="12812" max="12812" width="13.42578125" style="1" customWidth="1"/>
    <col min="12813" max="13059" width="9.140625" style="1"/>
    <col min="13060" max="13060" width="7.42578125" style="1" customWidth="1"/>
    <col min="13061" max="13061" width="45.42578125" style="1" customWidth="1"/>
    <col min="13062" max="13062" width="4.5703125" style="1" customWidth="1"/>
    <col min="13063" max="13063" width="9.5703125" style="1" customWidth="1"/>
    <col min="13064" max="13064" width="12.7109375" style="1" customWidth="1"/>
    <col min="13065" max="13065" width="14" style="1" customWidth="1"/>
    <col min="13066" max="13067" width="9.140625" style="1"/>
    <col min="13068" max="13068" width="13.42578125" style="1" customWidth="1"/>
    <col min="13069" max="13315" width="9.140625" style="1"/>
    <col min="13316" max="13316" width="7.42578125" style="1" customWidth="1"/>
    <col min="13317" max="13317" width="45.42578125" style="1" customWidth="1"/>
    <col min="13318" max="13318" width="4.5703125" style="1" customWidth="1"/>
    <col min="13319" max="13319" width="9.5703125" style="1" customWidth="1"/>
    <col min="13320" max="13320" width="12.7109375" style="1" customWidth="1"/>
    <col min="13321" max="13321" width="14" style="1" customWidth="1"/>
    <col min="13322" max="13323" width="9.140625" style="1"/>
    <col min="13324" max="13324" width="13.42578125" style="1" customWidth="1"/>
    <col min="13325" max="13571" width="9.140625" style="1"/>
    <col min="13572" max="13572" width="7.42578125" style="1" customWidth="1"/>
    <col min="13573" max="13573" width="45.42578125" style="1" customWidth="1"/>
    <col min="13574" max="13574" width="4.5703125" style="1" customWidth="1"/>
    <col min="13575" max="13575" width="9.5703125" style="1" customWidth="1"/>
    <col min="13576" max="13576" width="12.7109375" style="1" customWidth="1"/>
    <col min="13577" max="13577" width="14" style="1" customWidth="1"/>
    <col min="13578" max="13579" width="9.140625" style="1"/>
    <col min="13580" max="13580" width="13.42578125" style="1" customWidth="1"/>
    <col min="13581" max="13827" width="9.140625" style="1"/>
    <col min="13828" max="13828" width="7.42578125" style="1" customWidth="1"/>
    <col min="13829" max="13829" width="45.42578125" style="1" customWidth="1"/>
    <col min="13830" max="13830" width="4.5703125" style="1" customWidth="1"/>
    <col min="13831" max="13831" width="9.5703125" style="1" customWidth="1"/>
    <col min="13832" max="13832" width="12.7109375" style="1" customWidth="1"/>
    <col min="13833" max="13833" width="14" style="1" customWidth="1"/>
    <col min="13834" max="13835" width="9.140625" style="1"/>
    <col min="13836" max="13836" width="13.42578125" style="1" customWidth="1"/>
    <col min="13837" max="14083" width="9.140625" style="1"/>
    <col min="14084" max="14084" width="7.42578125" style="1" customWidth="1"/>
    <col min="14085" max="14085" width="45.42578125" style="1" customWidth="1"/>
    <col min="14086" max="14086" width="4.5703125" style="1" customWidth="1"/>
    <col min="14087" max="14087" width="9.5703125" style="1" customWidth="1"/>
    <col min="14088" max="14088" width="12.7109375" style="1" customWidth="1"/>
    <col min="14089" max="14089" width="14" style="1" customWidth="1"/>
    <col min="14090" max="14091" width="9.140625" style="1"/>
    <col min="14092" max="14092" width="13.42578125" style="1" customWidth="1"/>
    <col min="14093" max="14339" width="9.140625" style="1"/>
    <col min="14340" max="14340" width="7.42578125" style="1" customWidth="1"/>
    <col min="14341" max="14341" width="45.42578125" style="1" customWidth="1"/>
    <col min="14342" max="14342" width="4.5703125" style="1" customWidth="1"/>
    <col min="14343" max="14343" width="9.5703125" style="1" customWidth="1"/>
    <col min="14344" max="14344" width="12.7109375" style="1" customWidth="1"/>
    <col min="14345" max="14345" width="14" style="1" customWidth="1"/>
    <col min="14346" max="14347" width="9.140625" style="1"/>
    <col min="14348" max="14348" width="13.42578125" style="1" customWidth="1"/>
    <col min="14349" max="14595" width="9.140625" style="1"/>
    <col min="14596" max="14596" width="7.42578125" style="1" customWidth="1"/>
    <col min="14597" max="14597" width="45.42578125" style="1" customWidth="1"/>
    <col min="14598" max="14598" width="4.5703125" style="1" customWidth="1"/>
    <col min="14599" max="14599" width="9.5703125" style="1" customWidth="1"/>
    <col min="14600" max="14600" width="12.7109375" style="1" customWidth="1"/>
    <col min="14601" max="14601" width="14" style="1" customWidth="1"/>
    <col min="14602" max="14603" width="9.140625" style="1"/>
    <col min="14604" max="14604" width="13.42578125" style="1" customWidth="1"/>
    <col min="14605" max="14851" width="9.140625" style="1"/>
    <col min="14852" max="14852" width="7.42578125" style="1" customWidth="1"/>
    <col min="14853" max="14853" width="45.42578125" style="1" customWidth="1"/>
    <col min="14854" max="14854" width="4.5703125" style="1" customWidth="1"/>
    <col min="14855" max="14855" width="9.5703125" style="1" customWidth="1"/>
    <col min="14856" max="14856" width="12.7109375" style="1" customWidth="1"/>
    <col min="14857" max="14857" width="14" style="1" customWidth="1"/>
    <col min="14858" max="14859" width="9.140625" style="1"/>
    <col min="14860" max="14860" width="13.42578125" style="1" customWidth="1"/>
    <col min="14861" max="15107" width="9.140625" style="1"/>
    <col min="15108" max="15108" width="7.42578125" style="1" customWidth="1"/>
    <col min="15109" max="15109" width="45.42578125" style="1" customWidth="1"/>
    <col min="15110" max="15110" width="4.5703125" style="1" customWidth="1"/>
    <col min="15111" max="15111" width="9.5703125" style="1" customWidth="1"/>
    <col min="15112" max="15112" width="12.7109375" style="1" customWidth="1"/>
    <col min="15113" max="15113" width="14" style="1" customWidth="1"/>
    <col min="15114" max="15115" width="9.140625" style="1"/>
    <col min="15116" max="15116" width="13.42578125" style="1" customWidth="1"/>
    <col min="15117" max="15363" width="9.140625" style="1"/>
    <col min="15364" max="15364" width="7.42578125" style="1" customWidth="1"/>
    <col min="15365" max="15365" width="45.42578125" style="1" customWidth="1"/>
    <col min="15366" max="15366" width="4.5703125" style="1" customWidth="1"/>
    <col min="15367" max="15367" width="9.5703125" style="1" customWidth="1"/>
    <col min="15368" max="15368" width="12.7109375" style="1" customWidth="1"/>
    <col min="15369" max="15369" width="14" style="1" customWidth="1"/>
    <col min="15370" max="15371" width="9.140625" style="1"/>
    <col min="15372" max="15372" width="13.42578125" style="1" customWidth="1"/>
    <col min="15373" max="15619" width="9.140625" style="1"/>
    <col min="15620" max="15620" width="7.42578125" style="1" customWidth="1"/>
    <col min="15621" max="15621" width="45.42578125" style="1" customWidth="1"/>
    <col min="15622" max="15622" width="4.5703125" style="1" customWidth="1"/>
    <col min="15623" max="15623" width="9.5703125" style="1" customWidth="1"/>
    <col min="15624" max="15624" width="12.7109375" style="1" customWidth="1"/>
    <col min="15625" max="15625" width="14" style="1" customWidth="1"/>
    <col min="15626" max="15627" width="9.140625" style="1"/>
    <col min="15628" max="15628" width="13.42578125" style="1" customWidth="1"/>
    <col min="15629" max="15875" width="9.140625" style="1"/>
    <col min="15876" max="15876" width="7.42578125" style="1" customWidth="1"/>
    <col min="15877" max="15877" width="45.42578125" style="1" customWidth="1"/>
    <col min="15878" max="15878" width="4.5703125" style="1" customWidth="1"/>
    <col min="15879" max="15879" width="9.5703125" style="1" customWidth="1"/>
    <col min="15880" max="15880" width="12.7109375" style="1" customWidth="1"/>
    <col min="15881" max="15881" width="14" style="1" customWidth="1"/>
    <col min="15882" max="15883" width="9.140625" style="1"/>
    <col min="15884" max="15884" width="13.42578125" style="1" customWidth="1"/>
    <col min="15885" max="16131" width="9.140625" style="1"/>
    <col min="16132" max="16132" width="7.42578125" style="1" customWidth="1"/>
    <col min="16133" max="16133" width="45.42578125" style="1" customWidth="1"/>
    <col min="16134" max="16134" width="4.5703125" style="1" customWidth="1"/>
    <col min="16135" max="16135" width="9.5703125" style="1" customWidth="1"/>
    <col min="16136" max="16136" width="12.7109375" style="1" customWidth="1"/>
    <col min="16137" max="16137" width="14" style="1" customWidth="1"/>
    <col min="16138" max="16139" width="9.140625" style="1"/>
    <col min="16140" max="16140" width="13.42578125" style="1" customWidth="1"/>
    <col min="16141" max="16383" width="9.140625" style="1"/>
    <col min="16384" max="16384" width="9.140625" style="1" customWidth="1"/>
  </cols>
  <sheetData>
    <row r="1" spans="1:18" ht="3.75" customHeight="1" thickBot="1"/>
    <row r="2" spans="1:18" ht="84" customHeight="1" thickBot="1">
      <c r="B2" s="297"/>
      <c r="C2" s="298"/>
      <c r="D2" s="298"/>
      <c r="E2" s="298"/>
      <c r="F2" s="298"/>
      <c r="G2" s="298"/>
      <c r="H2" s="298"/>
      <c r="I2" s="298"/>
      <c r="J2" s="299"/>
    </row>
    <row r="3" spans="1:18" ht="40.5" customHeight="1" thickBot="1">
      <c r="E3" s="296" t="s">
        <v>7</v>
      </c>
    </row>
    <row r="4" spans="1:18" ht="15" customHeight="1" thickBot="1">
      <c r="B4" s="300" t="s">
        <v>40</v>
      </c>
      <c r="C4" s="301"/>
      <c r="D4" s="302" t="s">
        <v>162</v>
      </c>
      <c r="E4" s="303"/>
      <c r="F4" s="303"/>
      <c r="G4" s="303"/>
      <c r="H4" s="303"/>
      <c r="I4" s="304"/>
      <c r="J4" s="71"/>
    </row>
    <row r="5" spans="1:18" ht="5.25" customHeight="1" thickBot="1">
      <c r="B5" s="12"/>
      <c r="C5" s="12"/>
      <c r="D5" s="115"/>
      <c r="E5" s="6"/>
      <c r="F5" s="6"/>
      <c r="G5" s="6"/>
      <c r="H5" s="6"/>
      <c r="I5" s="6"/>
      <c r="J5" s="6"/>
    </row>
    <row r="6" spans="1:18" ht="15" customHeight="1">
      <c r="A6" s="11"/>
      <c r="B6" s="305" t="s">
        <v>1202</v>
      </c>
      <c r="C6" s="306"/>
      <c r="D6" s="306"/>
      <c r="E6" s="306"/>
      <c r="F6" s="307"/>
      <c r="G6" s="13"/>
      <c r="H6" s="308" t="s">
        <v>6</v>
      </c>
      <c r="I6" s="310" t="s">
        <v>41</v>
      </c>
      <c r="J6" s="311"/>
    </row>
    <row r="7" spans="1:18" ht="3.75" customHeight="1" thickBot="1">
      <c r="B7" s="60"/>
      <c r="C7" s="60"/>
      <c r="D7" s="61"/>
      <c r="E7" s="61"/>
      <c r="F7" s="61"/>
      <c r="G7" s="14"/>
      <c r="H7" s="309"/>
      <c r="I7" s="312"/>
      <c r="J7" s="313"/>
    </row>
    <row r="8" spans="1:18" ht="15" customHeight="1">
      <c r="B8" s="111" t="s">
        <v>1201</v>
      </c>
      <c r="C8" s="306"/>
      <c r="D8" s="306"/>
      <c r="E8" s="306"/>
      <c r="F8" s="307"/>
      <c r="G8" s="6"/>
      <c r="H8" s="317"/>
      <c r="I8" s="320"/>
      <c r="J8" s="321"/>
    </row>
    <row r="9" spans="1:18" ht="3.75" customHeight="1">
      <c r="B9" s="62"/>
      <c r="C9" s="62"/>
      <c r="D9" s="63"/>
      <c r="E9" s="63"/>
      <c r="F9" s="64"/>
      <c r="G9" s="6"/>
      <c r="H9" s="318"/>
      <c r="I9" s="322"/>
      <c r="J9" s="323"/>
    </row>
    <row r="10" spans="1:18" ht="15" customHeight="1" thickBot="1">
      <c r="A10" s="11"/>
      <c r="B10" s="305" t="s">
        <v>66</v>
      </c>
      <c r="C10" s="306"/>
      <c r="D10" s="306"/>
      <c r="E10" s="306"/>
      <c r="F10" s="307"/>
      <c r="G10" s="15"/>
      <c r="H10" s="319"/>
      <c r="I10" s="324"/>
      <c r="J10" s="325"/>
    </row>
    <row r="11" spans="1:18" ht="6" customHeight="1" thickBot="1">
      <c r="B11" s="4"/>
      <c r="C11" s="4"/>
      <c r="D11" s="5"/>
      <c r="E11" s="5"/>
      <c r="F11" s="6"/>
      <c r="G11" s="6"/>
      <c r="H11" s="9"/>
      <c r="I11" s="10"/>
      <c r="J11" s="10"/>
    </row>
    <row r="12" spans="1:18" ht="12" customHeight="1" thickBot="1">
      <c r="B12" s="326" t="s">
        <v>27</v>
      </c>
      <c r="C12" s="327"/>
      <c r="D12" s="327"/>
      <c r="E12" s="327"/>
      <c r="F12" s="327"/>
      <c r="G12" s="327"/>
      <c r="H12" s="327"/>
      <c r="I12" s="327"/>
      <c r="J12" s="328"/>
    </row>
    <row r="13" spans="1:18" ht="4.5" customHeight="1" thickBot="1">
      <c r="B13" s="4"/>
      <c r="C13" s="4"/>
      <c r="D13" s="5"/>
      <c r="E13" s="5"/>
      <c r="F13" s="6"/>
      <c r="G13" s="6"/>
      <c r="H13" s="7"/>
      <c r="I13" s="7"/>
      <c r="J13" s="7"/>
    </row>
    <row r="14" spans="1:18" s="16" customFormat="1" ht="37.9" customHeight="1" thickBot="1">
      <c r="B14" s="206" t="s">
        <v>2</v>
      </c>
      <c r="C14" s="65" t="s">
        <v>8</v>
      </c>
      <c r="D14" s="65" t="s">
        <v>3</v>
      </c>
      <c r="E14" s="66" t="s">
        <v>4</v>
      </c>
      <c r="F14" s="66" t="s">
        <v>9</v>
      </c>
      <c r="G14" s="67" t="s">
        <v>10</v>
      </c>
      <c r="H14" s="68" t="s">
        <v>11</v>
      </c>
      <c r="I14" s="69" t="s">
        <v>12</v>
      </c>
      <c r="J14" s="70" t="s">
        <v>5</v>
      </c>
    </row>
    <row r="15" spans="1:18" s="16" customFormat="1" ht="4.5" customHeight="1">
      <c r="B15" s="77"/>
      <c r="C15" s="77"/>
      <c r="D15" s="77"/>
      <c r="E15" s="77"/>
      <c r="F15" s="77"/>
      <c r="G15" s="78"/>
      <c r="H15" s="79"/>
      <c r="I15" s="79"/>
      <c r="J15" s="78"/>
    </row>
    <row r="16" spans="1:18" s="16" customFormat="1" ht="11.25" customHeight="1">
      <c r="B16" s="329" t="str">
        <f>D4</f>
        <v>REFORMA DA CÂMARA MUNICIPAL DE INDAIATUBA</v>
      </c>
      <c r="C16" s="330"/>
      <c r="D16" s="330"/>
      <c r="E16" s="330"/>
      <c r="F16" s="330"/>
      <c r="G16" s="330"/>
      <c r="H16" s="330"/>
      <c r="I16" s="330"/>
      <c r="J16" s="331"/>
      <c r="P16" s="339" t="s">
        <v>1146</v>
      </c>
      <c r="Q16" s="339"/>
      <c r="R16" s="339"/>
    </row>
    <row r="17" spans="2:18" s="16" customFormat="1" ht="4.5" customHeight="1">
      <c r="B17" s="17"/>
      <c r="C17" s="17"/>
      <c r="D17" s="17"/>
      <c r="E17" s="18"/>
      <c r="F17" s="19"/>
      <c r="G17" s="20"/>
      <c r="H17" s="21"/>
      <c r="I17" s="21"/>
      <c r="J17" s="21"/>
    </row>
    <row r="18" spans="2:18" s="16" customFormat="1" ht="12" customHeight="1">
      <c r="B18" s="314" t="s">
        <v>168</v>
      </c>
      <c r="C18" s="315"/>
      <c r="D18" s="315"/>
      <c r="E18" s="315"/>
      <c r="F18" s="315"/>
      <c r="G18" s="315"/>
      <c r="H18" s="315"/>
      <c r="I18" s="315"/>
      <c r="J18" s="316"/>
      <c r="P18" s="287" t="s">
        <v>1147</v>
      </c>
      <c r="Q18" s="287" t="s">
        <v>1148</v>
      </c>
      <c r="R18" s="287" t="s">
        <v>1149</v>
      </c>
    </row>
    <row r="19" spans="2:18" s="22" customFormat="1" ht="11.25">
      <c r="B19" s="72">
        <v>1</v>
      </c>
      <c r="C19" s="72"/>
      <c r="D19" s="72"/>
      <c r="E19" s="73" t="s">
        <v>165</v>
      </c>
      <c r="F19" s="73"/>
      <c r="G19" s="74"/>
      <c r="H19" s="75"/>
      <c r="I19" s="76"/>
      <c r="J19" s="76"/>
      <c r="P19" s="288">
        <f>CRONOGRAMA!B13</f>
        <v>1</v>
      </c>
      <c r="Q19" s="289" t="str">
        <f>CRONOGRAMA!C13</f>
        <v>CANTEIRO DE OBRAS</v>
      </c>
      <c r="R19" s="291">
        <f>$J$24</f>
        <v>0</v>
      </c>
    </row>
    <row r="20" spans="2:18" s="23" customFormat="1" ht="24" customHeight="1">
      <c r="B20" s="140" t="s">
        <v>0</v>
      </c>
      <c r="C20" s="142" t="s">
        <v>71</v>
      </c>
      <c r="D20" s="142">
        <v>103689</v>
      </c>
      <c r="E20" s="148" t="s">
        <v>86</v>
      </c>
      <c r="F20" s="140" t="s">
        <v>42</v>
      </c>
      <c r="G20" s="161">
        <f>3*1.5</f>
        <v>4.5</v>
      </c>
      <c r="H20" s="146"/>
      <c r="I20" s="147">
        <f>ROUND(H20*(1+BDI),2)</f>
        <v>0</v>
      </c>
      <c r="J20" s="147">
        <f>ROUND(G20*I20,2)</f>
        <v>0</v>
      </c>
      <c r="P20" s="288">
        <f>CRONOGRAMA!B14</f>
        <v>2</v>
      </c>
      <c r="Q20" s="289" t="str">
        <f>CRONOGRAMA!C14</f>
        <v>ADMINISTRAÇÃO DE OBRA</v>
      </c>
      <c r="R20" s="292">
        <f>$J$29</f>
        <v>0</v>
      </c>
    </row>
    <row r="21" spans="2:18" s="23" customFormat="1" ht="24" customHeight="1">
      <c r="B21" s="140" t="s">
        <v>120</v>
      </c>
      <c r="C21" s="142" t="s">
        <v>70</v>
      </c>
      <c r="D21" s="142">
        <v>10775</v>
      </c>
      <c r="E21" s="148" t="s">
        <v>192</v>
      </c>
      <c r="F21" s="140" t="s">
        <v>191</v>
      </c>
      <c r="G21" s="161">
        <v>6</v>
      </c>
      <c r="H21" s="146"/>
      <c r="I21" s="147">
        <f>ROUND(H21*(1+BDI),2)</f>
        <v>0</v>
      </c>
      <c r="J21" s="147">
        <f>ROUND(G21*I21,2)</f>
        <v>0</v>
      </c>
      <c r="P21" s="288">
        <f>CRONOGRAMA!B15</f>
        <v>3</v>
      </c>
      <c r="Q21" s="289" t="str">
        <f>CRONOGRAMA!C15</f>
        <v>DEMOLIÇÕES E RETIRADAS</v>
      </c>
      <c r="R21" s="292">
        <f>$J$37+$J$115+$J$173+$J$287+$J$353+$J$439+$J$499+$J$568+$J$590</f>
        <v>0</v>
      </c>
    </row>
    <row r="22" spans="2:18" s="23" customFormat="1" ht="24" customHeight="1">
      <c r="B22" s="140" t="s">
        <v>167</v>
      </c>
      <c r="C22" s="142" t="s">
        <v>170</v>
      </c>
      <c r="D22" s="142" t="s">
        <v>565</v>
      </c>
      <c r="E22" s="148" t="s">
        <v>566</v>
      </c>
      <c r="F22" s="140" t="s">
        <v>44</v>
      </c>
      <c r="G22" s="161">
        <f>G35+G109+G172+G286+G352+G436+G497+G588</f>
        <v>40.654874999999997</v>
      </c>
      <c r="H22" s="146"/>
      <c r="I22" s="147">
        <f>ROUND(H22*(1+BDI),2)</f>
        <v>0</v>
      </c>
      <c r="J22" s="147">
        <f>ROUND(G22*I22,2)</f>
        <v>0</v>
      </c>
      <c r="P22" s="288">
        <f>CRONOGRAMA!B16</f>
        <v>4</v>
      </c>
      <c r="Q22" s="289" t="str">
        <f>CRONOGRAMA!C16</f>
        <v>FUNDAÇÕES</v>
      </c>
      <c r="R22" s="292">
        <f>$J$604+$J$513</f>
        <v>0</v>
      </c>
    </row>
    <row r="23" spans="2:18" s="23" customFormat="1" ht="24" customHeight="1">
      <c r="B23" s="140" t="s">
        <v>178</v>
      </c>
      <c r="C23" s="142" t="s">
        <v>62</v>
      </c>
      <c r="D23" s="194" t="str">
        <f>COMPOSIÇÕES!C33</f>
        <v>COMP006</v>
      </c>
      <c r="E23" s="148" t="s">
        <v>571</v>
      </c>
      <c r="F23" s="140" t="s">
        <v>42</v>
      </c>
      <c r="G23" s="161">
        <f>'PLANILHA CÁLCULO'!F5+'PLANILHA CÁLCULO'!F6+'PLANILHA CÁLCULO'!F7+'PLANILHA CÁLCULO'!F8+'PLANILHA CÁLCULO'!F9+'PLANILHA CÁLCULO'!F10+'PLANILHA CÁLCULO'!F11+'PLANILHA CÁLCULO'!F12+'PLANILHA CÁLCULO'!F13+'PLANILHA CÁLCULO'!F14+'PLANILHA CÁLCULO'!F15+'PLANILHA CÁLCULO'!F16+'PLANILHA CÁLCULO'!F17</f>
        <v>2266.6672999999996</v>
      </c>
      <c r="H23" s="146"/>
      <c r="I23" s="147">
        <f>ROUND(H23*(1+BDI),2)</f>
        <v>0</v>
      </c>
      <c r="J23" s="147">
        <f>ROUND(G23*I23,2)</f>
        <v>0</v>
      </c>
      <c r="P23" s="288">
        <f>CRONOGRAMA!B17</f>
        <v>5</v>
      </c>
      <c r="Q23" s="289" t="str">
        <f>CRONOGRAMA!C17</f>
        <v>SUPERESTRUTURA</v>
      </c>
      <c r="R23" s="292">
        <f>$J$616+$J$523</f>
        <v>0</v>
      </c>
    </row>
    <row r="24" spans="2:18" s="22" customFormat="1" ht="11.25">
      <c r="B24" s="72"/>
      <c r="C24" s="72"/>
      <c r="D24" s="72"/>
      <c r="E24" s="73" t="s">
        <v>90</v>
      </c>
      <c r="F24" s="73" t="s">
        <v>45</v>
      </c>
      <c r="G24" s="74"/>
      <c r="H24" s="75"/>
      <c r="I24" s="76"/>
      <c r="J24" s="76">
        <f>SUM(J20:J23)</f>
        <v>0</v>
      </c>
      <c r="P24" s="288">
        <f>CRONOGRAMA!B18</f>
        <v>6</v>
      </c>
      <c r="Q24" s="289" t="str">
        <f>CRONOGRAMA!C18</f>
        <v>COBERTURAS</v>
      </c>
      <c r="R24" s="291">
        <f>$J$623</f>
        <v>0</v>
      </c>
    </row>
    <row r="25" spans="2:18" s="16" customFormat="1" ht="12" customHeight="1">
      <c r="B25" s="17"/>
      <c r="C25" s="17"/>
      <c r="D25" s="17"/>
      <c r="E25" s="18"/>
      <c r="F25" s="19" t="s">
        <v>45</v>
      </c>
      <c r="G25" s="20"/>
      <c r="H25" s="21"/>
      <c r="I25" s="21"/>
      <c r="J25" s="21"/>
      <c r="P25" s="288">
        <f>CRONOGRAMA!B19</f>
        <v>7</v>
      </c>
      <c r="Q25" s="289" t="str">
        <f>CRONOGRAMA!C19</f>
        <v>PISOS</v>
      </c>
      <c r="R25" s="291">
        <f>$J$47+$J$123+$J$181+$J$293+$J$359+$J$445+$J$635+$J$535</f>
        <v>0</v>
      </c>
    </row>
    <row r="26" spans="2:18" s="16" customFormat="1" ht="13.5" customHeight="1">
      <c r="B26" s="72">
        <v>2</v>
      </c>
      <c r="C26" s="72"/>
      <c r="D26" s="72"/>
      <c r="E26" s="73" t="s">
        <v>238</v>
      </c>
      <c r="F26" s="73"/>
      <c r="G26" s="74"/>
      <c r="H26" s="75"/>
      <c r="I26" s="76"/>
      <c r="J26" s="76"/>
      <c r="P26" s="288">
        <f>CRONOGRAMA!B20</f>
        <v>8</v>
      </c>
      <c r="Q26" s="289" t="str">
        <f>CRONOGRAMA!C20</f>
        <v>ACABAMENTOS</v>
      </c>
      <c r="R26" s="291">
        <f>$J$197+$J$314+$J$654</f>
        <v>0</v>
      </c>
    </row>
    <row r="27" spans="2:18" s="16" customFormat="1" ht="19.5" customHeight="1">
      <c r="B27" s="140" t="s">
        <v>1</v>
      </c>
      <c r="C27" s="142" t="s">
        <v>71</v>
      </c>
      <c r="D27" s="142">
        <v>90778</v>
      </c>
      <c r="E27" s="148" t="s">
        <v>237</v>
      </c>
      <c r="F27" s="140" t="s">
        <v>52</v>
      </c>
      <c r="G27" s="161">
        <f>3*5*4*6</f>
        <v>360</v>
      </c>
      <c r="H27" s="146"/>
      <c r="I27" s="147">
        <f>ROUND(H27*(1+BDI),2)</f>
        <v>0</v>
      </c>
      <c r="J27" s="147">
        <f>ROUND(G27*I27,2)</f>
        <v>0</v>
      </c>
      <c r="P27" s="288">
        <f>CRONOGRAMA!B21</f>
        <v>9</v>
      </c>
      <c r="Q27" s="289" t="str">
        <f>CRONOGRAMA!C21</f>
        <v>PAREDES</v>
      </c>
      <c r="R27" s="291">
        <f>$J$185+$J$298+$J$364+$J$449+$J$529+$J$641</f>
        <v>0</v>
      </c>
    </row>
    <row r="28" spans="2:18" s="16" customFormat="1" ht="13.5" customHeight="1">
      <c r="B28" s="140" t="s">
        <v>99</v>
      </c>
      <c r="C28" s="142" t="s">
        <v>71</v>
      </c>
      <c r="D28" s="142">
        <v>90776</v>
      </c>
      <c r="E28" s="148" t="s">
        <v>236</v>
      </c>
      <c r="F28" s="140" t="s">
        <v>52</v>
      </c>
      <c r="G28" s="161">
        <f>8*5*4*6</f>
        <v>960</v>
      </c>
      <c r="H28" s="146"/>
      <c r="I28" s="147">
        <f>ROUND(H28*(1+BDI),2)</f>
        <v>0</v>
      </c>
      <c r="J28" s="147">
        <f>ROUND(G28*I28,2)</f>
        <v>0</v>
      </c>
      <c r="P28" s="288">
        <f>CRONOGRAMA!B22</f>
        <v>10</v>
      </c>
      <c r="Q28" s="289" t="str">
        <f>CRONOGRAMA!C22</f>
        <v>REVESTIMENTOS</v>
      </c>
      <c r="R28" s="291">
        <f>$J$304+$J$371+$J$455+$J$545+$J$649</f>
        <v>0</v>
      </c>
    </row>
    <row r="29" spans="2:18" s="16" customFormat="1" ht="13.5" customHeight="1">
      <c r="B29" s="72"/>
      <c r="C29" s="72"/>
      <c r="D29" s="72"/>
      <c r="E29" s="73" t="s">
        <v>122</v>
      </c>
      <c r="F29" s="73" t="s">
        <v>45</v>
      </c>
      <c r="G29" s="74"/>
      <c r="H29" s="75"/>
      <c r="I29" s="76"/>
      <c r="J29" s="76">
        <f>SUM(J27:J28)</f>
        <v>0</v>
      </c>
      <c r="P29" s="288">
        <f>CRONOGRAMA!B23</f>
        <v>11</v>
      </c>
      <c r="Q29" s="289" t="str">
        <f>CRONOGRAMA!C23</f>
        <v>PINTURA INTERNA</v>
      </c>
      <c r="R29" s="291">
        <f>$J$65+$J$134+$J$210+$J$325+$J$378+$J$467+$J$673</f>
        <v>0</v>
      </c>
    </row>
    <row r="30" spans="2:18" s="16" customFormat="1" ht="12.75" customHeight="1">
      <c r="B30" s="17"/>
      <c r="C30" s="17"/>
      <c r="D30" s="17"/>
      <c r="E30" s="18"/>
      <c r="F30" s="19"/>
      <c r="G30" s="20"/>
      <c r="H30" s="21"/>
      <c r="I30" s="21"/>
      <c r="J30" s="21"/>
      <c r="P30" s="288">
        <f>CRONOGRAMA!B24</f>
        <v>12</v>
      </c>
      <c r="Q30" s="289" t="str">
        <f>CRONOGRAMA!C24</f>
        <v>PINTURA EXTERNA</v>
      </c>
      <c r="R30" s="291">
        <f>$J$554+$J$574</f>
        <v>0</v>
      </c>
    </row>
    <row r="31" spans="2:18" s="16" customFormat="1" ht="13.5" customHeight="1">
      <c r="B31" s="332" t="s">
        <v>202</v>
      </c>
      <c r="C31" s="333"/>
      <c r="D31" s="333"/>
      <c r="E31" s="333"/>
      <c r="F31" s="333"/>
      <c r="G31" s="333"/>
      <c r="H31" s="333"/>
      <c r="I31" s="334"/>
      <c r="J31" s="201">
        <f>J29+J24</f>
        <v>0</v>
      </c>
      <c r="P31" s="288">
        <f>CRONOGRAMA!B25</f>
        <v>13</v>
      </c>
      <c r="Q31" s="289" t="str">
        <f>CRONOGRAMA!C25</f>
        <v>ESQUADRIAS E FERRAGENS</v>
      </c>
      <c r="R31" s="291">
        <f>$J$52+$J$193+$J$309+$J$539+$J$662</f>
        <v>0</v>
      </c>
    </row>
    <row r="32" spans="2:18" s="16" customFormat="1" ht="15" customHeight="1">
      <c r="B32" s="17"/>
      <c r="C32" s="17"/>
      <c r="D32" s="17"/>
      <c r="E32" s="18"/>
      <c r="F32" s="19"/>
      <c r="G32" s="20"/>
      <c r="H32" s="21"/>
      <c r="I32" s="21"/>
      <c r="J32" s="21"/>
      <c r="P32" s="288">
        <f>CRONOGRAMA!B26</f>
        <v>14</v>
      </c>
      <c r="Q32" s="289" t="str">
        <f>CRONOGRAMA!C26</f>
        <v>FORROS</v>
      </c>
      <c r="R32" s="291">
        <f>$J$56+$J$201</f>
        <v>0</v>
      </c>
    </row>
    <row r="33" spans="2:18" s="16" customFormat="1" ht="13.5" customHeight="1">
      <c r="B33" s="314" t="s">
        <v>193</v>
      </c>
      <c r="C33" s="315"/>
      <c r="D33" s="315"/>
      <c r="E33" s="315"/>
      <c r="F33" s="315"/>
      <c r="G33" s="315"/>
      <c r="H33" s="315"/>
      <c r="I33" s="315"/>
      <c r="J33" s="316"/>
      <c r="P33" s="288">
        <f>CRONOGRAMA!B27</f>
        <v>15</v>
      </c>
      <c r="Q33" s="289" t="str">
        <f>CRONOGRAMA!C27</f>
        <v>INSTALAÇÕES HIDRÁULICAS</v>
      </c>
      <c r="R33" s="291">
        <f>$J$231+$J$387+$J$682</f>
        <v>0</v>
      </c>
    </row>
    <row r="34" spans="2:18" s="22" customFormat="1" ht="12.75" customHeight="1">
      <c r="B34" s="72" t="s">
        <v>0</v>
      </c>
      <c r="C34" s="72"/>
      <c r="D34" s="72"/>
      <c r="E34" s="73" t="s">
        <v>89</v>
      </c>
      <c r="F34" s="73" t="s">
        <v>45</v>
      </c>
      <c r="G34" s="74"/>
      <c r="H34" s="75"/>
      <c r="I34" s="76"/>
      <c r="J34" s="76"/>
      <c r="P34" s="288">
        <f>CRONOGRAMA!B28</f>
        <v>16</v>
      </c>
      <c r="Q34" s="289" t="str">
        <f>CRONOGRAMA!C28</f>
        <v>INSTALAÇÕES SANITÁRIAS / PLUVIAL</v>
      </c>
      <c r="R34" s="291">
        <f>$J$270+$J$408+$J$699</f>
        <v>0</v>
      </c>
    </row>
    <row r="35" spans="2:18" s="23" customFormat="1" ht="24" customHeight="1">
      <c r="B35" s="140" t="s">
        <v>0</v>
      </c>
      <c r="C35" s="142" t="s">
        <v>71</v>
      </c>
      <c r="D35" s="142">
        <v>104790</v>
      </c>
      <c r="E35" s="148" t="s">
        <v>239</v>
      </c>
      <c r="F35" s="140" t="s">
        <v>44</v>
      </c>
      <c r="G35" s="146">
        <f>'PLANILHA CÁLCULO'!S5*0.05</f>
        <v>3.1253250000000001</v>
      </c>
      <c r="H35" s="146"/>
      <c r="I35" s="147">
        <f>ROUND(H35*(1+BDI),2)</f>
        <v>0</v>
      </c>
      <c r="J35" s="147">
        <f>ROUND(G35*I35,2)</f>
        <v>0</v>
      </c>
      <c r="P35" s="288">
        <f>CRONOGRAMA!B29</f>
        <v>17</v>
      </c>
      <c r="Q35" s="289" t="str">
        <f>CRONOGRAMA!C29</f>
        <v>BANCADAS, LOUÇAS E METAIS</v>
      </c>
      <c r="R35" s="292">
        <f>$J$222+$J$396+$J$704</f>
        <v>0</v>
      </c>
    </row>
    <row r="36" spans="2:18" s="23" customFormat="1" ht="24" customHeight="1">
      <c r="B36" s="140" t="s">
        <v>120</v>
      </c>
      <c r="C36" s="142" t="s">
        <v>71</v>
      </c>
      <c r="D36" s="142">
        <v>97644</v>
      </c>
      <c r="E36" s="148" t="s">
        <v>108</v>
      </c>
      <c r="F36" s="140" t="s">
        <v>42</v>
      </c>
      <c r="G36" s="161">
        <f>1.2*2.1</f>
        <v>2.52</v>
      </c>
      <c r="H36" s="146"/>
      <c r="I36" s="147">
        <f>ROUND(H36*(1+BDI),2)</f>
        <v>0</v>
      </c>
      <c r="J36" s="147">
        <f>ROUND(G36*I36,2)</f>
        <v>0</v>
      </c>
      <c r="P36" s="288">
        <f>CRONOGRAMA!B30</f>
        <v>18</v>
      </c>
      <c r="Q36" s="289" t="str">
        <f>CRONOGRAMA!C30</f>
        <v>INSTALAÇÕES ELÉTRICAS</v>
      </c>
      <c r="R36" s="292">
        <f>J87+J145+J254+J341+J424+J484+J561+J581+J718</f>
        <v>0</v>
      </c>
    </row>
    <row r="37" spans="2:18" s="22" customFormat="1" ht="16.5" customHeight="1">
      <c r="B37" s="72"/>
      <c r="C37" s="72"/>
      <c r="D37" s="72"/>
      <c r="E37" s="73" t="s">
        <v>201</v>
      </c>
      <c r="F37" s="73" t="s">
        <v>45</v>
      </c>
      <c r="G37" s="74"/>
      <c r="H37" s="75"/>
      <c r="I37" s="76"/>
      <c r="J37" s="76">
        <f>SUM(J35:K36)</f>
        <v>0</v>
      </c>
      <c r="L37" s="208"/>
      <c r="P37" s="288">
        <f>CRONOGRAMA!B31</f>
        <v>19</v>
      </c>
      <c r="Q37" s="289" t="str">
        <f>CRONOGRAMA!C31</f>
        <v>INSTALAÇÕES DE COMBATE A INCÊNDIO E PÂNICO</v>
      </c>
      <c r="R37" s="290">
        <f>J95+J152</f>
        <v>0</v>
      </c>
    </row>
    <row r="38" spans="2:18" s="129" customFormat="1" ht="12.75" customHeight="1">
      <c r="B38" s="130"/>
      <c r="C38" s="130"/>
      <c r="D38" s="130"/>
      <c r="E38" s="131"/>
      <c r="F38" s="131"/>
      <c r="G38" s="132"/>
      <c r="H38" s="133"/>
      <c r="I38" s="134"/>
      <c r="J38" s="134"/>
      <c r="P38" s="288">
        <f>CRONOGRAMA!B32</f>
        <v>20</v>
      </c>
      <c r="Q38" s="289" t="str">
        <f>CRONOGRAMA!C32</f>
        <v>INSTALAÇÕES AR CONDICIONADO / EXAUSTÃO</v>
      </c>
      <c r="R38" s="293">
        <f>J103+J159+J275+J489</f>
        <v>0</v>
      </c>
    </row>
    <row r="39" spans="2:18" s="22" customFormat="1" ht="16.5" customHeight="1">
      <c r="B39" s="72" t="s">
        <v>120</v>
      </c>
      <c r="C39" s="72"/>
      <c r="D39" s="72"/>
      <c r="E39" s="73" t="s">
        <v>123</v>
      </c>
      <c r="F39" s="73" t="s">
        <v>45</v>
      </c>
      <c r="G39" s="74"/>
      <c r="H39" s="75"/>
      <c r="I39" s="76"/>
      <c r="J39" s="76"/>
    </row>
    <row r="40" spans="2:18" s="22" customFormat="1" ht="16.5" customHeight="1">
      <c r="B40" s="140" t="s">
        <v>203</v>
      </c>
      <c r="C40" s="140" t="s">
        <v>71</v>
      </c>
      <c r="D40" s="140">
        <v>93382</v>
      </c>
      <c r="E40" s="141" t="s">
        <v>174</v>
      </c>
      <c r="F40" s="140" t="s">
        <v>42</v>
      </c>
      <c r="G40" s="153">
        <f>'PLANILHA CÁLCULO'!S5</f>
        <v>62.506499999999996</v>
      </c>
      <c r="H40" s="146"/>
      <c r="I40" s="146">
        <f>ROUND(H40*(1+BDI),2)</f>
        <v>0</v>
      </c>
      <c r="J40" s="147">
        <f>ROUND(G40*I40,2)</f>
        <v>0</v>
      </c>
      <c r="R40" s="208">
        <f>SUM(R19:R39)</f>
        <v>0</v>
      </c>
    </row>
    <row r="41" spans="2:18" s="22" customFormat="1" ht="16.5" customHeight="1">
      <c r="B41" s="140" t="s">
        <v>204</v>
      </c>
      <c r="C41" s="140" t="s">
        <v>170</v>
      </c>
      <c r="D41" s="140" t="s">
        <v>169</v>
      </c>
      <c r="E41" s="141" t="s">
        <v>177</v>
      </c>
      <c r="F41" s="140" t="s">
        <v>44</v>
      </c>
      <c r="G41" s="146">
        <f>G40*0.05</f>
        <v>3.1253250000000001</v>
      </c>
      <c r="H41" s="146"/>
      <c r="I41" s="146">
        <f>ROUND(H41*(1+BDI),2)</f>
        <v>0</v>
      </c>
      <c r="J41" s="147">
        <f t="shared" ref="J41:J46" si="0">ROUND(G41*I41,2)</f>
        <v>0</v>
      </c>
    </row>
    <row r="42" spans="2:18" s="22" customFormat="1" ht="16.5" customHeight="1">
      <c r="B42" s="140" t="s">
        <v>205</v>
      </c>
      <c r="C42" s="140" t="s">
        <v>70</v>
      </c>
      <c r="D42" s="140">
        <v>21141</v>
      </c>
      <c r="E42" s="141" t="s">
        <v>172</v>
      </c>
      <c r="F42" s="140" t="s">
        <v>42</v>
      </c>
      <c r="G42" s="146">
        <f>G40</f>
        <v>62.506499999999996</v>
      </c>
      <c r="H42" s="146"/>
      <c r="I42" s="146">
        <f>ROUND(H42*(1+BDI),2)</f>
        <v>0</v>
      </c>
      <c r="J42" s="147">
        <f t="shared" si="0"/>
        <v>0</v>
      </c>
    </row>
    <row r="43" spans="2:18" s="22" customFormat="1" ht="20.25" customHeight="1">
      <c r="B43" s="140" t="s">
        <v>206</v>
      </c>
      <c r="C43" s="140" t="s">
        <v>170</v>
      </c>
      <c r="D43" s="140" t="s">
        <v>171</v>
      </c>
      <c r="E43" s="141" t="s">
        <v>356</v>
      </c>
      <c r="F43" s="140" t="s">
        <v>88</v>
      </c>
      <c r="G43" s="146">
        <v>36</v>
      </c>
      <c r="H43" s="146"/>
      <c r="I43" s="146">
        <f>ROUND(H43*(1+BDI),2)</f>
        <v>0</v>
      </c>
      <c r="J43" s="147">
        <f t="shared" si="0"/>
        <v>0</v>
      </c>
    </row>
    <row r="44" spans="2:18" s="22" customFormat="1" ht="19.5" customHeight="1">
      <c r="B44" s="140" t="s">
        <v>207</v>
      </c>
      <c r="C44" s="140" t="s">
        <v>170</v>
      </c>
      <c r="D44" s="140" t="s">
        <v>173</v>
      </c>
      <c r="E44" s="141" t="s">
        <v>357</v>
      </c>
      <c r="F44" s="140" t="s">
        <v>42</v>
      </c>
      <c r="G44" s="146">
        <f>G40</f>
        <v>62.506499999999996</v>
      </c>
      <c r="H44" s="146"/>
      <c r="I44" s="146">
        <f>ROUND(H44*(1+BDI),2)</f>
        <v>0</v>
      </c>
      <c r="J44" s="147">
        <f t="shared" si="0"/>
        <v>0</v>
      </c>
    </row>
    <row r="45" spans="2:18" s="22" customFormat="1" ht="20.25" customHeight="1">
      <c r="B45" s="140" t="s">
        <v>208</v>
      </c>
      <c r="C45" s="142" t="s">
        <v>62</v>
      </c>
      <c r="D45" s="159" t="str">
        <f>COMPOSIÇÕES!C7</f>
        <v>COMP001</v>
      </c>
      <c r="E45" s="144" t="s">
        <v>183</v>
      </c>
      <c r="F45" s="145" t="s">
        <v>43</v>
      </c>
      <c r="G45" s="146">
        <f>'PLANILHA CÁLCULO'!Y5</f>
        <v>39.409999999999997</v>
      </c>
      <c r="H45" s="146"/>
      <c r="I45" s="146">
        <f>ROUND(H45*(1+BDI),2)</f>
        <v>0</v>
      </c>
      <c r="J45" s="147">
        <f t="shared" si="0"/>
        <v>0</v>
      </c>
    </row>
    <row r="46" spans="2:18" s="22" customFormat="1" ht="20.25" customHeight="1">
      <c r="B46" s="154" t="s">
        <v>209</v>
      </c>
      <c r="C46" s="155" t="s">
        <v>170</v>
      </c>
      <c r="D46" s="160" t="s">
        <v>437</v>
      </c>
      <c r="E46" s="156" t="s">
        <v>406</v>
      </c>
      <c r="F46" s="157" t="s">
        <v>43</v>
      </c>
      <c r="G46" s="158">
        <v>1.3</v>
      </c>
      <c r="H46" s="146"/>
      <c r="I46" s="146">
        <f>ROUND(H46*(1+BDI),2)</f>
        <v>0</v>
      </c>
      <c r="J46" s="147">
        <f t="shared" si="0"/>
        <v>0</v>
      </c>
    </row>
    <row r="47" spans="2:18" s="22" customFormat="1" ht="17.25" customHeight="1">
      <c r="B47" s="135"/>
      <c r="C47" s="135"/>
      <c r="D47" s="135"/>
      <c r="E47" s="136" t="s">
        <v>200</v>
      </c>
      <c r="F47" s="136" t="s">
        <v>45</v>
      </c>
      <c r="G47" s="137"/>
      <c r="H47" s="138"/>
      <c r="I47" s="139"/>
      <c r="J47" s="139">
        <f>SUM(J40:J46)</f>
        <v>0</v>
      </c>
      <c r="M47" s="208"/>
    </row>
    <row r="48" spans="2:18" s="16" customFormat="1" ht="7.5" customHeight="1">
      <c r="B48" s="17"/>
      <c r="C48" s="17"/>
      <c r="D48" s="17"/>
      <c r="E48" s="18"/>
      <c r="F48" s="19" t="s">
        <v>45</v>
      </c>
      <c r="G48" s="20"/>
      <c r="H48" s="21"/>
      <c r="I48" s="21"/>
      <c r="J48" s="21"/>
    </row>
    <row r="49" spans="2:17" s="22" customFormat="1" ht="9">
      <c r="B49" s="72" t="s">
        <v>167</v>
      </c>
      <c r="C49" s="72"/>
      <c r="D49" s="72"/>
      <c r="E49" s="73" t="s">
        <v>121</v>
      </c>
      <c r="F49" s="73" t="s">
        <v>45</v>
      </c>
      <c r="G49" s="74"/>
      <c r="H49" s="75"/>
      <c r="I49" s="76"/>
      <c r="J49" s="76"/>
    </row>
    <row r="50" spans="2:17" s="23" customFormat="1" ht="36" customHeight="1">
      <c r="B50" s="140" t="s">
        <v>210</v>
      </c>
      <c r="C50" s="142" t="s">
        <v>170</v>
      </c>
      <c r="D50" s="159" t="s">
        <v>189</v>
      </c>
      <c r="E50" s="144" t="s">
        <v>190</v>
      </c>
      <c r="F50" s="145" t="s">
        <v>42</v>
      </c>
      <c r="G50" s="146">
        <f>1.2*2.1</f>
        <v>2.52</v>
      </c>
      <c r="H50" s="146"/>
      <c r="I50" s="147">
        <f>ROUND(H50*(1+BDI),2)</f>
        <v>0</v>
      </c>
      <c r="J50" s="147">
        <f>ROUND(G50*I50,2)</f>
        <v>0</v>
      </c>
      <c r="Q50" s="22"/>
    </row>
    <row r="51" spans="2:17" s="23" customFormat="1" ht="18">
      <c r="B51" s="140" t="s">
        <v>403</v>
      </c>
      <c r="C51" s="142" t="s">
        <v>71</v>
      </c>
      <c r="D51" s="143">
        <v>102162</v>
      </c>
      <c r="E51" s="144" t="s">
        <v>401</v>
      </c>
      <c r="F51" s="145" t="s">
        <v>42</v>
      </c>
      <c r="G51" s="146">
        <f>G50</f>
        <v>2.52</v>
      </c>
      <c r="H51" s="146"/>
      <c r="I51" s="147">
        <f>ROUND(H51*(1+BDI),2)</f>
        <v>0</v>
      </c>
      <c r="J51" s="147">
        <f>ROUND(G51*I51,2)</f>
        <v>0</v>
      </c>
      <c r="Q51" s="22"/>
    </row>
    <row r="52" spans="2:17" s="22" customFormat="1" ht="9">
      <c r="B52" s="72"/>
      <c r="C52" s="72"/>
      <c r="D52" s="72"/>
      <c r="E52" s="73" t="s">
        <v>199</v>
      </c>
      <c r="F52" s="73" t="s">
        <v>45</v>
      </c>
      <c r="G52" s="74"/>
      <c r="H52" s="75"/>
      <c r="I52" s="76"/>
      <c r="J52" s="76">
        <f>SUM(J50:J51)</f>
        <v>0</v>
      </c>
      <c r="M52" s="208"/>
    </row>
    <row r="53" spans="2:17" s="22" customFormat="1" ht="6.75" customHeight="1">
      <c r="B53" s="103"/>
      <c r="C53" s="103"/>
      <c r="D53" s="103"/>
      <c r="E53" s="104"/>
      <c r="F53" s="104"/>
      <c r="G53" s="106"/>
      <c r="H53" s="105"/>
      <c r="I53" s="105"/>
      <c r="J53" s="107"/>
    </row>
    <row r="54" spans="2:17" s="22" customFormat="1" ht="9">
      <c r="B54" s="72" t="s">
        <v>178</v>
      </c>
      <c r="C54" s="72"/>
      <c r="D54" s="72"/>
      <c r="E54" s="73" t="s">
        <v>109</v>
      </c>
      <c r="F54" s="73" t="s">
        <v>45</v>
      </c>
      <c r="G54" s="74"/>
      <c r="H54" s="75"/>
      <c r="I54" s="76"/>
      <c r="J54" s="76"/>
    </row>
    <row r="55" spans="2:17" s="23" customFormat="1" ht="43.5" customHeight="1">
      <c r="B55" s="140" t="s">
        <v>211</v>
      </c>
      <c r="C55" s="142" t="s">
        <v>170</v>
      </c>
      <c r="D55" s="143" t="s">
        <v>240</v>
      </c>
      <c r="E55" s="148" t="s">
        <v>241</v>
      </c>
      <c r="F55" s="140" t="s">
        <v>149</v>
      </c>
      <c r="G55" s="146">
        <f>'PLANILHA CÁLCULO'!AA5</f>
        <v>62.506499999999996</v>
      </c>
      <c r="H55" s="146"/>
      <c r="I55" s="147">
        <f>ROUND(H55*(1+BDI),2)</f>
        <v>0</v>
      </c>
      <c r="J55" s="147">
        <f>ROUND(G55*I55,2)</f>
        <v>0</v>
      </c>
      <c r="Q55" s="22"/>
    </row>
    <row r="56" spans="2:17" s="22" customFormat="1" ht="9">
      <c r="B56" s="72"/>
      <c r="C56" s="72"/>
      <c r="D56" s="72"/>
      <c r="E56" s="73" t="s">
        <v>198</v>
      </c>
      <c r="F56" s="73" t="s">
        <v>45</v>
      </c>
      <c r="G56" s="74"/>
      <c r="H56" s="75"/>
      <c r="I56" s="76"/>
      <c r="J56" s="76">
        <f>SUM(J55:J55)</f>
        <v>0</v>
      </c>
    </row>
    <row r="57" spans="2:17" s="22" customFormat="1" ht="7.5" customHeight="1">
      <c r="B57" s="103"/>
      <c r="C57" s="103"/>
      <c r="D57" s="103"/>
      <c r="E57" s="104"/>
      <c r="F57" s="104"/>
      <c r="G57" s="106"/>
      <c r="H57" s="105"/>
      <c r="I57" s="105"/>
      <c r="J57" s="107"/>
    </row>
    <row r="58" spans="2:17" s="22" customFormat="1" ht="9">
      <c r="B58" s="72" t="s">
        <v>194</v>
      </c>
      <c r="C58" s="72"/>
      <c r="D58" s="72"/>
      <c r="E58" s="73" t="s">
        <v>110</v>
      </c>
      <c r="F58" s="73" t="s">
        <v>45</v>
      </c>
      <c r="G58" s="74"/>
      <c r="H58" s="75"/>
      <c r="I58" s="76"/>
      <c r="J58" s="76"/>
    </row>
    <row r="59" spans="2:17" s="22" customFormat="1" ht="23.25" customHeight="1">
      <c r="B59" s="142" t="s">
        <v>212</v>
      </c>
      <c r="C59" s="142" t="s">
        <v>62</v>
      </c>
      <c r="D59" s="142" t="s">
        <v>84</v>
      </c>
      <c r="E59" s="192" t="s">
        <v>340</v>
      </c>
      <c r="F59" s="142" t="s">
        <v>42</v>
      </c>
      <c r="G59" s="193">
        <f>'PLANILHA CÁLCULO'!AI5</f>
        <v>104.43649999999998</v>
      </c>
      <c r="H59" s="146"/>
      <c r="I59" s="147">
        <f>ROUND(H59*(1+BDI),2)</f>
        <v>0</v>
      </c>
      <c r="J59" s="147">
        <f t="shared" ref="J59:J64" si="1">ROUND(G59*I59,2)</f>
        <v>0</v>
      </c>
    </row>
    <row r="60" spans="2:17" s="22" customFormat="1" ht="21.75" customHeight="1">
      <c r="B60" s="142" t="s">
        <v>213</v>
      </c>
      <c r="C60" s="142" t="s">
        <v>71</v>
      </c>
      <c r="D60" s="142">
        <v>88485</v>
      </c>
      <c r="E60" s="192" t="s">
        <v>337</v>
      </c>
      <c r="F60" s="142" t="s">
        <v>42</v>
      </c>
      <c r="G60" s="193">
        <f>'PLANILHA CÁLCULO'!AI5</f>
        <v>104.43649999999998</v>
      </c>
      <c r="H60" s="146"/>
      <c r="I60" s="146">
        <f>ROUND(H60*(1+BDI),2)</f>
        <v>0</v>
      </c>
      <c r="J60" s="147">
        <f t="shared" si="1"/>
        <v>0</v>
      </c>
    </row>
    <row r="61" spans="2:17" s="23" customFormat="1" ht="24" customHeight="1">
      <c r="B61" s="142" t="s">
        <v>214</v>
      </c>
      <c r="C61" s="140" t="s">
        <v>71</v>
      </c>
      <c r="D61" s="140">
        <v>88497</v>
      </c>
      <c r="E61" s="141" t="s">
        <v>111</v>
      </c>
      <c r="F61" s="140" t="s">
        <v>42</v>
      </c>
      <c r="G61" s="193">
        <f>'PLANILHA CÁLCULO'!AH5</f>
        <v>104.43649999999998</v>
      </c>
      <c r="H61" s="146"/>
      <c r="I61" s="146">
        <f>ROUND(H61*(1+BDI),2)</f>
        <v>0</v>
      </c>
      <c r="J61" s="147">
        <f t="shared" si="1"/>
        <v>0</v>
      </c>
      <c r="Q61" s="22"/>
    </row>
    <row r="62" spans="2:17" s="23" customFormat="1" ht="24" customHeight="1">
      <c r="B62" s="142" t="s">
        <v>215</v>
      </c>
      <c r="C62" s="140" t="s">
        <v>71</v>
      </c>
      <c r="D62" s="140">
        <v>88496</v>
      </c>
      <c r="E62" s="141" t="s">
        <v>112</v>
      </c>
      <c r="F62" s="140" t="s">
        <v>42</v>
      </c>
      <c r="G62" s="193">
        <f>'PLANILHA CÁLCULO'!AC5</f>
        <v>62.506499999999996</v>
      </c>
      <c r="H62" s="146"/>
      <c r="I62" s="146">
        <f>ROUND(H62*(1+BDI),2)</f>
        <v>0</v>
      </c>
      <c r="J62" s="147">
        <f t="shared" si="1"/>
        <v>0</v>
      </c>
      <c r="Q62" s="22"/>
    </row>
    <row r="63" spans="2:17" s="23" customFormat="1" ht="24" customHeight="1">
      <c r="B63" s="142" t="s">
        <v>321</v>
      </c>
      <c r="C63" s="142" t="s">
        <v>71</v>
      </c>
      <c r="D63" s="142">
        <v>88489</v>
      </c>
      <c r="E63" s="144" t="s">
        <v>98</v>
      </c>
      <c r="F63" s="145" t="s">
        <v>42</v>
      </c>
      <c r="G63" s="193">
        <f>G61</f>
        <v>104.43649999999998</v>
      </c>
      <c r="H63" s="146"/>
      <c r="I63" s="146">
        <f>ROUND(H63*(1+BDI),2)</f>
        <v>0</v>
      </c>
      <c r="J63" s="147">
        <f t="shared" si="1"/>
        <v>0</v>
      </c>
      <c r="Q63" s="22"/>
    </row>
    <row r="64" spans="2:17" s="23" customFormat="1" ht="24" customHeight="1">
      <c r="B64" s="142" t="s">
        <v>322</v>
      </c>
      <c r="C64" s="142" t="s">
        <v>71</v>
      </c>
      <c r="D64" s="142">
        <v>88488</v>
      </c>
      <c r="E64" s="144" t="s">
        <v>91</v>
      </c>
      <c r="F64" s="145" t="s">
        <v>42</v>
      </c>
      <c r="G64" s="193">
        <f>G62</f>
        <v>62.506499999999996</v>
      </c>
      <c r="H64" s="146"/>
      <c r="I64" s="146">
        <f>ROUND(H64*(1+BDI),2)</f>
        <v>0</v>
      </c>
      <c r="J64" s="147">
        <f t="shared" si="1"/>
        <v>0</v>
      </c>
      <c r="Q64" s="22"/>
    </row>
    <row r="65" spans="2:17" s="22" customFormat="1" ht="9">
      <c r="B65" s="72"/>
      <c r="C65" s="72"/>
      <c r="D65" s="72"/>
      <c r="E65" s="73" t="s">
        <v>197</v>
      </c>
      <c r="F65" s="73" t="s">
        <v>45</v>
      </c>
      <c r="G65" s="74"/>
      <c r="H65" s="75"/>
      <c r="I65" s="76"/>
      <c r="J65" s="76">
        <f>SUM(J59:J64)</f>
        <v>0</v>
      </c>
      <c r="L65" s="208"/>
    </row>
    <row r="66" spans="2:17" s="22" customFormat="1" ht="5.25" customHeight="1">
      <c r="B66" s="103"/>
      <c r="C66" s="103"/>
      <c r="D66" s="103"/>
      <c r="E66" s="104"/>
      <c r="F66" s="104"/>
      <c r="G66" s="106"/>
      <c r="H66" s="105"/>
      <c r="I66" s="105"/>
      <c r="J66" s="107"/>
    </row>
    <row r="67" spans="2:17" s="22" customFormat="1" ht="9">
      <c r="B67" s="72" t="s">
        <v>195</v>
      </c>
      <c r="C67" s="72"/>
      <c r="D67" s="72"/>
      <c r="E67" s="73" t="s">
        <v>67</v>
      </c>
      <c r="F67" s="73" t="s">
        <v>45</v>
      </c>
      <c r="G67" s="74"/>
      <c r="H67" s="75"/>
      <c r="I67" s="76"/>
      <c r="J67" s="76"/>
    </row>
    <row r="68" spans="2:17" s="23" customFormat="1" ht="34.5" customHeight="1">
      <c r="B68" s="140" t="s">
        <v>216</v>
      </c>
      <c r="C68" s="142" t="s">
        <v>71</v>
      </c>
      <c r="D68" s="142">
        <v>95781</v>
      </c>
      <c r="E68" s="144" t="s">
        <v>288</v>
      </c>
      <c r="F68" s="145" t="s">
        <v>251</v>
      </c>
      <c r="G68" s="161">
        <v>18</v>
      </c>
      <c r="H68" s="146"/>
      <c r="I68" s="147">
        <f>ROUND(H68*(1+BDI),2)</f>
        <v>0</v>
      </c>
      <c r="J68" s="147">
        <f t="shared" ref="J68:J85" si="2">ROUND(G68*I68,2)</f>
        <v>0</v>
      </c>
      <c r="Q68" s="22"/>
    </row>
    <row r="69" spans="2:17" s="23" customFormat="1" ht="24" customHeight="1">
      <c r="B69" s="140" t="s">
        <v>217</v>
      </c>
      <c r="C69" s="142" t="s">
        <v>71</v>
      </c>
      <c r="D69" s="142" t="s">
        <v>124</v>
      </c>
      <c r="E69" s="144" t="s">
        <v>273</v>
      </c>
      <c r="F69" s="145" t="s">
        <v>72</v>
      </c>
      <c r="G69" s="146">
        <f>27+8</f>
        <v>35</v>
      </c>
      <c r="H69" s="146"/>
      <c r="I69" s="147">
        <f>ROUND(H69*(1+BDI),2)</f>
        <v>0</v>
      </c>
      <c r="J69" s="147">
        <f>ROUND(G69*I69,2)</f>
        <v>0</v>
      </c>
      <c r="Q69" s="22"/>
    </row>
    <row r="70" spans="2:17" s="23" customFormat="1" ht="24" customHeight="1">
      <c r="B70" s="140" t="s">
        <v>218</v>
      </c>
      <c r="C70" s="142" t="s">
        <v>71</v>
      </c>
      <c r="D70" s="142">
        <v>91925</v>
      </c>
      <c r="E70" s="144" t="s">
        <v>1136</v>
      </c>
      <c r="F70" s="145" t="s">
        <v>43</v>
      </c>
      <c r="G70" s="146">
        <f>G78*2</f>
        <v>174.39999999999998</v>
      </c>
      <c r="H70" s="146"/>
      <c r="I70" s="147">
        <f>ROUND(H70*(1+BDI),2)</f>
        <v>0</v>
      </c>
      <c r="J70" s="147">
        <f t="shared" si="2"/>
        <v>0</v>
      </c>
      <c r="Q70" s="22"/>
    </row>
    <row r="71" spans="2:17" s="23" customFormat="1" ht="24" customHeight="1">
      <c r="B71" s="140" t="s">
        <v>219</v>
      </c>
      <c r="C71" s="142" t="s">
        <v>71</v>
      </c>
      <c r="D71" s="142">
        <v>91927</v>
      </c>
      <c r="E71" s="144" t="s">
        <v>1137</v>
      </c>
      <c r="F71" s="145" t="s">
        <v>43</v>
      </c>
      <c r="G71" s="146">
        <f>G78*3</f>
        <v>261.59999999999997</v>
      </c>
      <c r="H71" s="146"/>
      <c r="I71" s="147">
        <f>ROUND(H71*(1+BDI),2)</f>
        <v>0</v>
      </c>
      <c r="J71" s="147">
        <f t="shared" si="2"/>
        <v>0</v>
      </c>
      <c r="Q71" s="22"/>
    </row>
    <row r="72" spans="2:17" s="23" customFormat="1" ht="27.75" customHeight="1">
      <c r="B72" s="140" t="s">
        <v>220</v>
      </c>
      <c r="C72" s="142" t="s">
        <v>71</v>
      </c>
      <c r="D72" s="142">
        <v>91929</v>
      </c>
      <c r="E72" s="144" t="s">
        <v>1138</v>
      </c>
      <c r="F72" s="145" t="s">
        <v>43</v>
      </c>
      <c r="G72" s="146">
        <v>60</v>
      </c>
      <c r="H72" s="146"/>
      <c r="I72" s="147">
        <f>ROUND(H72*(1+BDI),2)</f>
        <v>0</v>
      </c>
      <c r="J72" s="147">
        <f t="shared" si="2"/>
        <v>0</v>
      </c>
      <c r="Q72" s="22"/>
    </row>
    <row r="73" spans="2:17" s="23" customFormat="1" ht="32.25" customHeight="1">
      <c r="B73" s="140" t="s">
        <v>221</v>
      </c>
      <c r="C73" s="142" t="s">
        <v>71</v>
      </c>
      <c r="D73" s="142">
        <v>91932</v>
      </c>
      <c r="E73" s="144" t="s">
        <v>1143</v>
      </c>
      <c r="F73" s="145" t="s">
        <v>43</v>
      </c>
      <c r="G73" s="146">
        <v>90</v>
      </c>
      <c r="H73" s="146"/>
      <c r="I73" s="147">
        <f>ROUND(H73*(1+BDI),2)</f>
        <v>0</v>
      </c>
      <c r="J73" s="147">
        <f>ROUND(G73*I73,2)</f>
        <v>0</v>
      </c>
      <c r="Q73" s="22"/>
    </row>
    <row r="74" spans="2:17" s="23" customFormat="1" ht="24" customHeight="1">
      <c r="B74" s="140" t="s">
        <v>222</v>
      </c>
      <c r="C74" s="142" t="s">
        <v>71</v>
      </c>
      <c r="D74" s="142">
        <v>91953</v>
      </c>
      <c r="E74" s="144" t="s">
        <v>100</v>
      </c>
      <c r="F74" s="145" t="s">
        <v>72</v>
      </c>
      <c r="G74" s="146">
        <v>11</v>
      </c>
      <c r="H74" s="146"/>
      <c r="I74" s="147">
        <f>ROUND(H74*(1+BDI),2)</f>
        <v>0</v>
      </c>
      <c r="J74" s="147">
        <f t="shared" si="2"/>
        <v>0</v>
      </c>
      <c r="Q74" s="22"/>
    </row>
    <row r="75" spans="2:17" s="23" customFormat="1" ht="24" customHeight="1">
      <c r="B75" s="140" t="s">
        <v>223</v>
      </c>
      <c r="C75" s="142" t="s">
        <v>71</v>
      </c>
      <c r="D75" s="142">
        <v>92023</v>
      </c>
      <c r="E75" s="144" t="s">
        <v>159</v>
      </c>
      <c r="F75" s="145" t="s">
        <v>72</v>
      </c>
      <c r="G75" s="146">
        <v>2</v>
      </c>
      <c r="H75" s="146"/>
      <c r="I75" s="147">
        <f>ROUND(H75*(1+BDI),2)</f>
        <v>0</v>
      </c>
      <c r="J75" s="147">
        <f t="shared" si="2"/>
        <v>0</v>
      </c>
      <c r="Q75" s="22"/>
    </row>
    <row r="76" spans="2:17" s="23" customFormat="1" ht="24" customHeight="1">
      <c r="B76" s="140" t="s">
        <v>224</v>
      </c>
      <c r="C76" s="142" t="s">
        <v>71</v>
      </c>
      <c r="D76" s="142">
        <v>92004</v>
      </c>
      <c r="E76" s="144" t="s">
        <v>101</v>
      </c>
      <c r="F76" s="145" t="s">
        <v>72</v>
      </c>
      <c r="G76" s="146">
        <v>13</v>
      </c>
      <c r="H76" s="146"/>
      <c r="I76" s="147">
        <f>ROUND(H76*(1+BDI),2)</f>
        <v>0</v>
      </c>
      <c r="J76" s="147">
        <f t="shared" si="2"/>
        <v>0</v>
      </c>
      <c r="Q76" s="22"/>
    </row>
    <row r="77" spans="2:17" s="23" customFormat="1" ht="27.75" customHeight="1">
      <c r="B77" s="140" t="s">
        <v>225</v>
      </c>
      <c r="C77" s="142" t="s">
        <v>71</v>
      </c>
      <c r="D77" s="142">
        <v>95781</v>
      </c>
      <c r="E77" s="144" t="s">
        <v>289</v>
      </c>
      <c r="F77" s="145" t="s">
        <v>251</v>
      </c>
      <c r="G77" s="146">
        <v>15</v>
      </c>
      <c r="H77" s="146"/>
      <c r="I77" s="147">
        <f>ROUND(H77*(1+BDI),2)</f>
        <v>0</v>
      </c>
      <c r="J77" s="147">
        <f>ROUND(G77*I77,2)</f>
        <v>0</v>
      </c>
      <c r="Q77" s="22"/>
    </row>
    <row r="78" spans="2:17" s="23" customFormat="1" ht="24" customHeight="1">
      <c r="B78" s="140" t="s">
        <v>226</v>
      </c>
      <c r="C78" s="142" t="s">
        <v>170</v>
      </c>
      <c r="D78" s="142" t="s">
        <v>280</v>
      </c>
      <c r="E78" s="144" t="s">
        <v>279</v>
      </c>
      <c r="F78" s="145" t="s">
        <v>43</v>
      </c>
      <c r="G78" s="146">
        <f>12*4+4.55+4.55+4.55+4.55+21</f>
        <v>87.199999999999989</v>
      </c>
      <c r="H78" s="146"/>
      <c r="I78" s="147">
        <f>ROUND(H78*(1+BDI),2)</f>
        <v>0</v>
      </c>
      <c r="J78" s="147">
        <f t="shared" si="2"/>
        <v>0</v>
      </c>
      <c r="Q78" s="22"/>
    </row>
    <row r="79" spans="2:17" s="23" customFormat="1" ht="24" customHeight="1">
      <c r="B79" s="140" t="s">
        <v>227</v>
      </c>
      <c r="C79" s="142" t="s">
        <v>71</v>
      </c>
      <c r="D79" s="142">
        <v>103782</v>
      </c>
      <c r="E79" s="144" t="s">
        <v>281</v>
      </c>
      <c r="F79" s="145" t="s">
        <v>251</v>
      </c>
      <c r="G79" s="146">
        <v>23</v>
      </c>
      <c r="H79" s="146"/>
      <c r="I79" s="147">
        <f>ROUND(H79*(1+BDI),2)</f>
        <v>0</v>
      </c>
      <c r="J79" s="147">
        <f t="shared" si="2"/>
        <v>0</v>
      </c>
      <c r="Q79" s="22"/>
    </row>
    <row r="80" spans="2:17" s="23" customFormat="1" ht="24" customHeight="1">
      <c r="B80" s="140" t="s">
        <v>228</v>
      </c>
      <c r="C80" s="142" t="s">
        <v>170</v>
      </c>
      <c r="D80" s="142" t="s">
        <v>283</v>
      </c>
      <c r="E80" s="144" t="s">
        <v>282</v>
      </c>
      <c r="F80" s="145" t="s">
        <v>251</v>
      </c>
      <c r="G80" s="146">
        <v>4</v>
      </c>
      <c r="H80" s="146"/>
      <c r="I80" s="147">
        <f>ROUND(H80*(1+BDI),2)</f>
        <v>0</v>
      </c>
      <c r="J80" s="147">
        <f t="shared" si="2"/>
        <v>0</v>
      </c>
      <c r="Q80" s="22"/>
    </row>
    <row r="81" spans="2:17" s="23" customFormat="1" ht="24" customHeight="1">
      <c r="B81" s="140" t="s">
        <v>229</v>
      </c>
      <c r="C81" s="142" t="s">
        <v>71</v>
      </c>
      <c r="D81" s="142">
        <v>39457</v>
      </c>
      <c r="E81" s="144" t="s">
        <v>278</v>
      </c>
      <c r="F81" s="145" t="s">
        <v>251</v>
      </c>
      <c r="G81" s="146">
        <v>1</v>
      </c>
      <c r="H81" s="146"/>
      <c r="I81" s="147">
        <f>ROUND(H81*(1+BDI),2)</f>
        <v>0</v>
      </c>
      <c r="J81" s="147">
        <f t="shared" si="2"/>
        <v>0</v>
      </c>
      <c r="Q81" s="22"/>
    </row>
    <row r="82" spans="2:17" s="23" customFormat="1" ht="24" customHeight="1">
      <c r="B82" s="140" t="s">
        <v>230</v>
      </c>
      <c r="C82" s="142" t="s">
        <v>71</v>
      </c>
      <c r="D82" s="142">
        <v>93666</v>
      </c>
      <c r="E82" s="144" t="s">
        <v>276</v>
      </c>
      <c r="F82" s="145" t="s">
        <v>72</v>
      </c>
      <c r="G82" s="146">
        <v>1</v>
      </c>
      <c r="H82" s="146"/>
      <c r="I82" s="147">
        <f>ROUND(H82*(1+BDI),2)</f>
        <v>0</v>
      </c>
      <c r="J82" s="147">
        <f t="shared" si="2"/>
        <v>0</v>
      </c>
      <c r="Q82" s="22"/>
    </row>
    <row r="83" spans="2:17" s="23" customFormat="1" ht="24" customHeight="1">
      <c r="B83" s="140" t="s">
        <v>231</v>
      </c>
      <c r="C83" s="142" t="s">
        <v>71</v>
      </c>
      <c r="D83" s="142">
        <v>93662</v>
      </c>
      <c r="E83" s="144" t="s">
        <v>277</v>
      </c>
      <c r="F83" s="145" t="s">
        <v>72</v>
      </c>
      <c r="G83" s="146">
        <v>3</v>
      </c>
      <c r="H83" s="146"/>
      <c r="I83" s="147">
        <f>ROUND(H83*(1+BDI),2)</f>
        <v>0</v>
      </c>
      <c r="J83" s="147">
        <f t="shared" si="2"/>
        <v>0</v>
      </c>
      <c r="Q83" s="22"/>
    </row>
    <row r="84" spans="2:17" s="23" customFormat="1" ht="24" customHeight="1">
      <c r="B84" s="140" t="s">
        <v>232</v>
      </c>
      <c r="C84" s="142" t="s">
        <v>71</v>
      </c>
      <c r="D84" s="142">
        <v>93663</v>
      </c>
      <c r="E84" s="144" t="s">
        <v>275</v>
      </c>
      <c r="F84" s="145" t="s">
        <v>72</v>
      </c>
      <c r="G84" s="146">
        <v>2</v>
      </c>
      <c r="H84" s="146"/>
      <c r="I84" s="147">
        <f>ROUND(H84*(1+BDI),2)</f>
        <v>0</v>
      </c>
      <c r="J84" s="147">
        <f t="shared" si="2"/>
        <v>0</v>
      </c>
      <c r="Q84" s="22"/>
    </row>
    <row r="85" spans="2:17" s="23" customFormat="1" ht="24" customHeight="1">
      <c r="B85" s="140" t="s">
        <v>233</v>
      </c>
      <c r="C85" s="142" t="s">
        <v>71</v>
      </c>
      <c r="D85" s="142">
        <v>39465</v>
      </c>
      <c r="E85" s="144" t="s">
        <v>125</v>
      </c>
      <c r="F85" s="145" t="s">
        <v>85</v>
      </c>
      <c r="G85" s="146">
        <v>3</v>
      </c>
      <c r="H85" s="146"/>
      <c r="I85" s="147">
        <f>ROUND(H85*(1+BDI),2)</f>
        <v>0</v>
      </c>
      <c r="J85" s="147">
        <f t="shared" si="2"/>
        <v>0</v>
      </c>
      <c r="Q85" s="22"/>
    </row>
    <row r="86" spans="2:17" s="23" customFormat="1" ht="36" customHeight="1">
      <c r="B86" s="140" t="s">
        <v>234</v>
      </c>
      <c r="C86" s="142" t="s">
        <v>71</v>
      </c>
      <c r="D86" s="142">
        <v>101883</v>
      </c>
      <c r="E86" s="144" t="s">
        <v>274</v>
      </c>
      <c r="F86" s="145" t="s">
        <v>72</v>
      </c>
      <c r="G86" s="146">
        <v>1</v>
      </c>
      <c r="H86" s="146"/>
      <c r="I86" s="147">
        <f>ROUND(H86*(1+BDI),2)</f>
        <v>0</v>
      </c>
      <c r="J86" s="147">
        <f>ROUND(G86*I86,2)</f>
        <v>0</v>
      </c>
      <c r="Q86" s="22"/>
    </row>
    <row r="87" spans="2:17" s="22" customFormat="1" ht="11.25" customHeight="1">
      <c r="B87" s="72"/>
      <c r="C87" s="72"/>
      <c r="D87" s="72"/>
      <c r="E87" s="73" t="s">
        <v>196</v>
      </c>
      <c r="F87" s="73" t="s">
        <v>45</v>
      </c>
      <c r="G87" s="74"/>
      <c r="H87" s="75"/>
      <c r="I87" s="76"/>
      <c r="J87" s="76">
        <f>SUM(J68:J86)</f>
        <v>0</v>
      </c>
      <c r="L87" s="208"/>
    </row>
    <row r="88" spans="2:17" s="129" customFormat="1" ht="7.5" customHeight="1">
      <c r="B88" s="164"/>
      <c r="C88" s="164"/>
      <c r="D88" s="164"/>
      <c r="E88" s="165"/>
      <c r="F88" s="165"/>
      <c r="G88" s="166"/>
      <c r="H88" s="167"/>
      <c r="I88" s="168"/>
      <c r="J88" s="168"/>
    </row>
    <row r="89" spans="2:17" s="129" customFormat="1" ht="11.25" customHeight="1">
      <c r="B89" s="72" t="s">
        <v>243</v>
      </c>
      <c r="C89" s="72"/>
      <c r="D89" s="72"/>
      <c r="E89" s="73" t="s">
        <v>242</v>
      </c>
      <c r="F89" s="73" t="s">
        <v>45</v>
      </c>
      <c r="G89" s="74"/>
      <c r="H89" s="75"/>
      <c r="I89" s="76"/>
      <c r="J89" s="76"/>
    </row>
    <row r="90" spans="2:17" s="129" customFormat="1" ht="20.25" customHeight="1">
      <c r="B90" s="140" t="s">
        <v>244</v>
      </c>
      <c r="C90" s="142" t="s">
        <v>170</v>
      </c>
      <c r="D90" s="142" t="s">
        <v>250</v>
      </c>
      <c r="E90" s="144" t="s">
        <v>249</v>
      </c>
      <c r="F90" s="145" t="s">
        <v>251</v>
      </c>
      <c r="G90" s="146">
        <v>1</v>
      </c>
      <c r="H90" s="146"/>
      <c r="I90" s="147">
        <f>ROUND(H90*(1+BDI),2)</f>
        <v>0</v>
      </c>
      <c r="J90" s="147">
        <f>ROUND(G90*I90,2)</f>
        <v>0</v>
      </c>
    </row>
    <row r="91" spans="2:17" s="129" customFormat="1" ht="19.5" customHeight="1">
      <c r="B91" s="140" t="s">
        <v>245</v>
      </c>
      <c r="C91" s="142" t="s">
        <v>170</v>
      </c>
      <c r="D91" s="142" t="s">
        <v>284</v>
      </c>
      <c r="E91" s="144" t="s">
        <v>252</v>
      </c>
      <c r="F91" s="145" t="s">
        <v>251</v>
      </c>
      <c r="G91" s="146">
        <v>3</v>
      </c>
      <c r="H91" s="146"/>
      <c r="I91" s="147">
        <f>ROUND(H91*(1+BDI),2)</f>
        <v>0</v>
      </c>
      <c r="J91" s="147">
        <f>ROUND(G91*I91,2)</f>
        <v>0</v>
      </c>
    </row>
    <row r="92" spans="2:17" s="129" customFormat="1" ht="21" customHeight="1">
      <c r="B92" s="140" t="s">
        <v>246</v>
      </c>
      <c r="C92" s="142" t="s">
        <v>71</v>
      </c>
      <c r="D92" s="142">
        <v>37556</v>
      </c>
      <c r="E92" s="144" t="s">
        <v>254</v>
      </c>
      <c r="F92" s="145" t="s">
        <v>251</v>
      </c>
      <c r="G92" s="146">
        <v>1</v>
      </c>
      <c r="H92" s="146"/>
      <c r="I92" s="147">
        <f>ROUND(H92*(1+BDI),2)</f>
        <v>0</v>
      </c>
      <c r="J92" s="147">
        <f>ROUND(G92*I92,2)</f>
        <v>0</v>
      </c>
    </row>
    <row r="93" spans="2:17" s="129" customFormat="1" ht="23.25" customHeight="1">
      <c r="B93" s="140" t="s">
        <v>247</v>
      </c>
      <c r="C93" s="142" t="s">
        <v>71</v>
      </c>
      <c r="D93" s="142">
        <v>37539</v>
      </c>
      <c r="E93" s="144" t="s">
        <v>256</v>
      </c>
      <c r="F93" s="145" t="s">
        <v>251</v>
      </c>
      <c r="G93" s="146">
        <v>2</v>
      </c>
      <c r="H93" s="146"/>
      <c r="I93" s="147">
        <f>ROUND(H93*(1+BDI),2)</f>
        <v>0</v>
      </c>
      <c r="J93" s="147">
        <f>ROUND(G93*I93,2)</f>
        <v>0</v>
      </c>
    </row>
    <row r="94" spans="2:17" s="129" customFormat="1" ht="21" customHeight="1">
      <c r="B94" s="140" t="s">
        <v>253</v>
      </c>
      <c r="C94" s="142" t="s">
        <v>71</v>
      </c>
      <c r="D94" s="142">
        <v>37560</v>
      </c>
      <c r="E94" s="144" t="s">
        <v>255</v>
      </c>
      <c r="F94" s="145" t="s">
        <v>251</v>
      </c>
      <c r="G94" s="146">
        <v>3</v>
      </c>
      <c r="H94" s="146"/>
      <c r="I94" s="147">
        <f>ROUND(H94*(1+BDI),2)</f>
        <v>0</v>
      </c>
      <c r="J94" s="147">
        <f>ROUND(G94*I94,2)</f>
        <v>0</v>
      </c>
    </row>
    <row r="95" spans="2:17" s="129" customFormat="1" ht="11.25" customHeight="1">
      <c r="B95" s="72"/>
      <c r="C95" s="72"/>
      <c r="D95" s="72"/>
      <c r="E95" s="73" t="s">
        <v>248</v>
      </c>
      <c r="F95" s="73" t="s">
        <v>45</v>
      </c>
      <c r="G95" s="74"/>
      <c r="H95" s="75"/>
      <c r="I95" s="76"/>
      <c r="J95" s="76">
        <f>SUM(J90:J94)</f>
        <v>0</v>
      </c>
    </row>
    <row r="96" spans="2:17" s="129" customFormat="1" ht="7.5" customHeight="1">
      <c r="B96" s="130"/>
      <c r="C96" s="130"/>
      <c r="D96" s="130"/>
      <c r="E96" s="131"/>
      <c r="F96" s="131"/>
      <c r="G96" s="132"/>
      <c r="H96" s="133"/>
      <c r="I96" s="134"/>
      <c r="J96" s="134"/>
    </row>
    <row r="97" spans="2:12" s="129" customFormat="1" ht="11.25" customHeight="1">
      <c r="B97" s="72" t="s">
        <v>258</v>
      </c>
      <c r="C97" s="72"/>
      <c r="D97" s="72"/>
      <c r="E97" s="73" t="s">
        <v>257</v>
      </c>
      <c r="F97" s="73" t="s">
        <v>45</v>
      </c>
      <c r="G97" s="74"/>
      <c r="H97" s="75"/>
      <c r="I97" s="76"/>
      <c r="J97" s="76"/>
    </row>
    <row r="98" spans="2:12" s="129" customFormat="1" ht="18.75" customHeight="1">
      <c r="B98" s="140" t="s">
        <v>259</v>
      </c>
      <c r="C98" s="142" t="s">
        <v>71</v>
      </c>
      <c r="D98" s="143">
        <v>89402</v>
      </c>
      <c r="E98" s="148" t="s">
        <v>862</v>
      </c>
      <c r="F98" s="140" t="s">
        <v>43</v>
      </c>
      <c r="G98" s="146">
        <v>10</v>
      </c>
      <c r="H98" s="146"/>
      <c r="I98" s="147">
        <f>ROUND(H98*(1+BDI),2)</f>
        <v>0</v>
      </c>
      <c r="J98" s="147">
        <f t="shared" ref="J98:J99" si="3">ROUND(G98*I98,2)</f>
        <v>0</v>
      </c>
    </row>
    <row r="99" spans="2:12" s="129" customFormat="1" ht="18.75" customHeight="1">
      <c r="B99" s="140" t="s">
        <v>260</v>
      </c>
      <c r="C99" s="142" t="s">
        <v>71</v>
      </c>
      <c r="D99" s="143">
        <v>89481</v>
      </c>
      <c r="E99" s="148" t="s">
        <v>863</v>
      </c>
      <c r="F99" s="140" t="s">
        <v>72</v>
      </c>
      <c r="G99" s="146">
        <v>4</v>
      </c>
      <c r="H99" s="146"/>
      <c r="I99" s="147">
        <f>ROUND(H99*(1+BDI),2)</f>
        <v>0</v>
      </c>
      <c r="J99" s="147">
        <f t="shared" si="3"/>
        <v>0</v>
      </c>
    </row>
    <row r="100" spans="2:12" s="129" customFormat="1" ht="20.25" customHeight="1">
      <c r="B100" s="140" t="s">
        <v>261</v>
      </c>
      <c r="C100" s="142" t="s">
        <v>170</v>
      </c>
      <c r="D100" s="142" t="s">
        <v>269</v>
      </c>
      <c r="E100" s="144" t="s">
        <v>268</v>
      </c>
      <c r="F100" s="145" t="s">
        <v>251</v>
      </c>
      <c r="G100" s="146">
        <v>2</v>
      </c>
      <c r="H100" s="146"/>
      <c r="I100" s="147">
        <f>ROUND(H100*(1+BDI),2)</f>
        <v>0</v>
      </c>
      <c r="J100" s="147">
        <f>ROUND(G100*I100,2)</f>
        <v>0</v>
      </c>
    </row>
    <row r="101" spans="2:12" s="129" customFormat="1" ht="18.75" customHeight="1">
      <c r="B101" s="140" t="s">
        <v>262</v>
      </c>
      <c r="C101" s="142" t="s">
        <v>170</v>
      </c>
      <c r="D101" s="142" t="s">
        <v>265</v>
      </c>
      <c r="E101" s="144" t="s">
        <v>266</v>
      </c>
      <c r="F101" s="145" t="s">
        <v>267</v>
      </c>
      <c r="G101" s="146">
        <f>0.2*0.4*3</f>
        <v>0.24000000000000005</v>
      </c>
      <c r="H101" s="146"/>
      <c r="I101" s="147">
        <f>ROUND(H101*(1+BDI),2)</f>
        <v>0</v>
      </c>
      <c r="J101" s="147">
        <f>ROUND(G101*I101,2)</f>
        <v>0</v>
      </c>
    </row>
    <row r="102" spans="2:12" s="129" customFormat="1" ht="18.75" customHeight="1">
      <c r="B102" s="140" t="s">
        <v>263</v>
      </c>
      <c r="C102" s="142" t="s">
        <v>271</v>
      </c>
      <c r="D102" s="142" t="s">
        <v>270</v>
      </c>
      <c r="E102" s="144" t="s">
        <v>272</v>
      </c>
      <c r="F102" s="145" t="s">
        <v>43</v>
      </c>
      <c r="G102" s="146">
        <f>3+1.26+1.34+1.05+3</f>
        <v>9.6499999999999986</v>
      </c>
      <c r="H102" s="146"/>
      <c r="I102" s="147">
        <f>ROUND(H102*(1+BDI),2)</f>
        <v>0</v>
      </c>
      <c r="J102" s="147">
        <f>ROUND(G102*I102,2)</f>
        <v>0</v>
      </c>
    </row>
    <row r="103" spans="2:12" s="129" customFormat="1" ht="11.25" customHeight="1">
      <c r="B103" s="72"/>
      <c r="C103" s="72"/>
      <c r="D103" s="72"/>
      <c r="E103" s="73" t="s">
        <v>264</v>
      </c>
      <c r="F103" s="73" t="s">
        <v>45</v>
      </c>
      <c r="G103" s="74"/>
      <c r="H103" s="75"/>
      <c r="I103" s="76"/>
      <c r="J103" s="76">
        <f>SUM(J98:J102)</f>
        <v>0</v>
      </c>
      <c r="L103" s="209"/>
    </row>
    <row r="104" spans="2:12" s="129" customFormat="1" ht="8.25" customHeight="1">
      <c r="B104" s="130"/>
      <c r="C104" s="130"/>
      <c r="D104" s="130"/>
      <c r="E104" s="131"/>
      <c r="F104" s="131"/>
      <c r="G104" s="132"/>
      <c r="H104" s="133"/>
      <c r="I104" s="134"/>
      <c r="J104" s="134"/>
    </row>
    <row r="105" spans="2:12" s="22" customFormat="1" ht="11.25" customHeight="1">
      <c r="B105" s="332" t="s">
        <v>235</v>
      </c>
      <c r="C105" s="333"/>
      <c r="D105" s="333"/>
      <c r="E105" s="333"/>
      <c r="F105" s="333"/>
      <c r="G105" s="333"/>
      <c r="H105" s="333"/>
      <c r="I105" s="334"/>
      <c r="J105" s="207">
        <f>J87+J65+J56+J52+J47+J37+J95+J103</f>
        <v>0</v>
      </c>
    </row>
    <row r="106" spans="2:12" s="22" customFormat="1" ht="6" customHeight="1">
      <c r="B106" s="164"/>
      <c r="C106" s="164"/>
      <c r="D106" s="164"/>
      <c r="E106" s="164"/>
      <c r="F106" s="164"/>
      <c r="G106" s="164"/>
      <c r="H106" s="164"/>
      <c r="I106" s="164"/>
      <c r="J106" s="168"/>
    </row>
    <row r="107" spans="2:12" s="22" customFormat="1" ht="18" customHeight="1">
      <c r="B107" s="314" t="s">
        <v>294</v>
      </c>
      <c r="C107" s="315"/>
      <c r="D107" s="315"/>
      <c r="E107" s="315"/>
      <c r="F107" s="315"/>
      <c r="G107" s="315"/>
      <c r="H107" s="315"/>
      <c r="I107" s="315"/>
      <c r="J107" s="316"/>
    </row>
    <row r="108" spans="2:12" s="22" customFormat="1" ht="18" customHeight="1">
      <c r="B108" s="72" t="s">
        <v>1</v>
      </c>
      <c r="C108" s="72"/>
      <c r="D108" s="72"/>
      <c r="E108" s="73" t="s">
        <v>89</v>
      </c>
      <c r="F108" s="73" t="s">
        <v>45</v>
      </c>
      <c r="G108" s="74"/>
      <c r="H108" s="75"/>
      <c r="I108" s="76"/>
      <c r="J108" s="76"/>
    </row>
    <row r="109" spans="2:12" s="22" customFormat="1" ht="20.25" customHeight="1">
      <c r="B109" s="140" t="s">
        <v>295</v>
      </c>
      <c r="C109" s="142" t="s">
        <v>71</v>
      </c>
      <c r="D109" s="142">
        <v>104790</v>
      </c>
      <c r="E109" s="148" t="s">
        <v>302</v>
      </c>
      <c r="F109" s="140" t="s">
        <v>44</v>
      </c>
      <c r="G109" s="146">
        <f>('PLANILHA CÁLCULO'!S6)*0.05</f>
        <v>5.4810000000000008</v>
      </c>
      <c r="H109" s="146"/>
      <c r="I109" s="147">
        <f>ROUND(H109*(1+BDI),2)</f>
        <v>0</v>
      </c>
      <c r="J109" s="147">
        <f>ROUND(G109*I109,2)</f>
        <v>0</v>
      </c>
    </row>
    <row r="110" spans="2:12" s="22" customFormat="1" ht="18" customHeight="1">
      <c r="B110" s="140" t="s">
        <v>296</v>
      </c>
      <c r="C110" s="140" t="s">
        <v>71</v>
      </c>
      <c r="D110" s="140">
        <v>97633</v>
      </c>
      <c r="E110" s="148" t="s">
        <v>353</v>
      </c>
      <c r="F110" s="140" t="s">
        <v>42</v>
      </c>
      <c r="G110" s="161">
        <f>'PLANILHA CÁLCULO'!S6</f>
        <v>109.62</v>
      </c>
      <c r="H110" s="146"/>
      <c r="I110" s="147">
        <f>ROUND(H110*(1+BDI),2)</f>
        <v>0</v>
      </c>
      <c r="J110" s="147">
        <f t="shared" ref="J110:J114" si="4">ROUND(G110*I110,2)</f>
        <v>0</v>
      </c>
    </row>
    <row r="111" spans="2:12" s="22" customFormat="1" ht="18" customHeight="1">
      <c r="B111" s="140" t="s">
        <v>301</v>
      </c>
      <c r="C111" s="140" t="s">
        <v>71</v>
      </c>
      <c r="D111" s="140">
        <v>97632</v>
      </c>
      <c r="E111" s="148" t="s">
        <v>354</v>
      </c>
      <c r="F111" s="140" t="s">
        <v>43</v>
      </c>
      <c r="G111" s="161">
        <f>'PLANILHA CÁLCULO'!E6</f>
        <v>52.48</v>
      </c>
      <c r="H111" s="146"/>
      <c r="I111" s="147">
        <f>ROUND(H111*(1+BDI),2)</f>
        <v>0</v>
      </c>
      <c r="J111" s="147">
        <f t="shared" si="4"/>
        <v>0</v>
      </c>
    </row>
    <row r="112" spans="2:12" s="22" customFormat="1" ht="18" customHeight="1">
      <c r="B112" s="140" t="s">
        <v>307</v>
      </c>
      <c r="C112" s="142" t="s">
        <v>71</v>
      </c>
      <c r="D112" s="142">
        <v>104793</v>
      </c>
      <c r="E112" s="148" t="s">
        <v>304</v>
      </c>
      <c r="F112" s="140" t="s">
        <v>43</v>
      </c>
      <c r="G112" s="161">
        <f>16.59*4</f>
        <v>66.36</v>
      </c>
      <c r="H112" s="146"/>
      <c r="I112" s="147">
        <f>ROUND(H112*(1+BDI),2)</f>
        <v>0</v>
      </c>
      <c r="J112" s="147">
        <f t="shared" si="4"/>
        <v>0</v>
      </c>
    </row>
    <row r="113" spans="2:13" s="22" customFormat="1" ht="18" customHeight="1">
      <c r="B113" s="140" t="s">
        <v>308</v>
      </c>
      <c r="C113" s="142" t="s">
        <v>71</v>
      </c>
      <c r="D113" s="142">
        <v>97660</v>
      </c>
      <c r="E113" s="148" t="s">
        <v>305</v>
      </c>
      <c r="F113" s="140" t="s">
        <v>72</v>
      </c>
      <c r="G113" s="161">
        <v>3</v>
      </c>
      <c r="H113" s="146"/>
      <c r="I113" s="147">
        <f>ROUND(H113*(1+BDI),2)</f>
        <v>0</v>
      </c>
      <c r="J113" s="147">
        <f t="shared" si="4"/>
        <v>0</v>
      </c>
    </row>
    <row r="114" spans="2:13" s="22" customFormat="1" ht="18" customHeight="1">
      <c r="B114" s="140" t="s">
        <v>355</v>
      </c>
      <c r="C114" s="142" t="s">
        <v>71</v>
      </c>
      <c r="D114" s="142">
        <v>97665</v>
      </c>
      <c r="E114" s="148" t="s">
        <v>306</v>
      </c>
      <c r="F114" s="140" t="s">
        <v>72</v>
      </c>
      <c r="G114" s="161">
        <v>10</v>
      </c>
      <c r="H114" s="146"/>
      <c r="I114" s="147">
        <f>ROUND(H114*(1+BDI),2)</f>
        <v>0</v>
      </c>
      <c r="J114" s="147">
        <f t="shared" si="4"/>
        <v>0</v>
      </c>
    </row>
    <row r="115" spans="2:13" s="22" customFormat="1" ht="18" customHeight="1">
      <c r="B115" s="72"/>
      <c r="C115" s="72"/>
      <c r="D115" s="72"/>
      <c r="E115" s="73" t="s">
        <v>311</v>
      </c>
      <c r="F115" s="73" t="s">
        <v>45</v>
      </c>
      <c r="G115" s="74"/>
      <c r="H115" s="75"/>
      <c r="I115" s="76"/>
      <c r="J115" s="76">
        <f>SUM(J109:J114)</f>
        <v>0</v>
      </c>
      <c r="L115" s="208"/>
    </row>
    <row r="116" spans="2:13" s="22" customFormat="1" ht="6" customHeight="1">
      <c r="B116" s="130"/>
      <c r="C116" s="130"/>
      <c r="D116" s="130"/>
      <c r="E116" s="131"/>
      <c r="F116" s="131"/>
      <c r="G116" s="132"/>
      <c r="H116" s="133"/>
      <c r="I116" s="134"/>
      <c r="J116" s="134"/>
    </row>
    <row r="117" spans="2:13" s="22" customFormat="1" ht="18" customHeight="1">
      <c r="B117" s="72" t="s">
        <v>99</v>
      </c>
      <c r="C117" s="72"/>
      <c r="D117" s="72"/>
      <c r="E117" s="73" t="s">
        <v>123</v>
      </c>
      <c r="F117" s="73" t="s">
        <v>45</v>
      </c>
      <c r="G117" s="74"/>
      <c r="H117" s="75"/>
      <c r="I117" s="76"/>
      <c r="J117" s="76"/>
    </row>
    <row r="118" spans="2:13" s="22" customFormat="1" ht="18" customHeight="1">
      <c r="B118" s="140" t="s">
        <v>298</v>
      </c>
      <c r="C118" s="140" t="s">
        <v>71</v>
      </c>
      <c r="D118" s="140">
        <v>93382</v>
      </c>
      <c r="E118" s="141" t="s">
        <v>309</v>
      </c>
      <c r="F118" s="140" t="s">
        <v>42</v>
      </c>
      <c r="G118" s="153">
        <f>'PLANILHA CÁLCULO'!S6</f>
        <v>109.62</v>
      </c>
      <c r="H118" s="146"/>
      <c r="I118" s="147">
        <f>ROUND(H118*(1+BDI),2)</f>
        <v>0</v>
      </c>
      <c r="J118" s="147">
        <f>ROUND(G118*I118,2)</f>
        <v>0</v>
      </c>
    </row>
    <row r="119" spans="2:13" s="22" customFormat="1" ht="24.75" customHeight="1">
      <c r="B119" s="140" t="s">
        <v>299</v>
      </c>
      <c r="C119" s="140" t="s">
        <v>71</v>
      </c>
      <c r="D119" s="143">
        <v>87694</v>
      </c>
      <c r="E119" s="144" t="s">
        <v>310</v>
      </c>
      <c r="F119" s="140" t="s">
        <v>42</v>
      </c>
      <c r="G119" s="146">
        <f>'PLANILHA CÁLCULO'!S6</f>
        <v>109.62</v>
      </c>
      <c r="H119" s="146"/>
      <c r="I119" s="147">
        <f>ROUND(H119*(1+BDI),2)</f>
        <v>0</v>
      </c>
      <c r="J119" s="147">
        <f>ROUND(G119*I119,2)</f>
        <v>0</v>
      </c>
    </row>
    <row r="120" spans="2:13" s="22" customFormat="1" ht="18" customHeight="1">
      <c r="B120" s="140" t="s">
        <v>300</v>
      </c>
      <c r="C120" s="140" t="s">
        <v>170</v>
      </c>
      <c r="D120" s="140" t="s">
        <v>171</v>
      </c>
      <c r="E120" s="141" t="s">
        <v>356</v>
      </c>
      <c r="F120" s="140" t="s">
        <v>88</v>
      </c>
      <c r="G120" s="146">
        <f>18*3</f>
        <v>54</v>
      </c>
      <c r="H120" s="146"/>
      <c r="I120" s="147">
        <f>ROUND(H120*(1+BDI),2)</f>
        <v>0</v>
      </c>
      <c r="J120" s="147">
        <f>ROUND(G120*I120,2)</f>
        <v>0</v>
      </c>
    </row>
    <row r="121" spans="2:13" s="22" customFormat="1" ht="34.5" customHeight="1">
      <c r="B121" s="140" t="s">
        <v>361</v>
      </c>
      <c r="C121" s="140" t="s">
        <v>71</v>
      </c>
      <c r="D121" s="140">
        <v>104598</v>
      </c>
      <c r="E121" s="141" t="s">
        <v>390</v>
      </c>
      <c r="F121" s="140" t="s">
        <v>42</v>
      </c>
      <c r="G121" s="146">
        <f>'PLANILHA CÁLCULO'!U6</f>
        <v>109.62</v>
      </c>
      <c r="H121" s="146"/>
      <c r="I121" s="147">
        <f>ROUND(H121*(1+BDI),2)</f>
        <v>0</v>
      </c>
      <c r="J121" s="147">
        <f>ROUND(G121*I121,2)</f>
        <v>0</v>
      </c>
    </row>
    <row r="122" spans="2:13" s="22" customFormat="1" ht="18" customHeight="1">
      <c r="B122" s="140" t="s">
        <v>362</v>
      </c>
      <c r="C122" s="142" t="s">
        <v>71</v>
      </c>
      <c r="D122" s="159" t="s">
        <v>359</v>
      </c>
      <c r="E122" s="144" t="s">
        <v>358</v>
      </c>
      <c r="F122" s="145" t="s">
        <v>43</v>
      </c>
      <c r="G122" s="146">
        <f>'PLANILHA CÁLCULO'!Z6</f>
        <v>52.48</v>
      </c>
      <c r="H122" s="146"/>
      <c r="I122" s="147">
        <f>ROUND(H122*(1+BDI),2)</f>
        <v>0</v>
      </c>
      <c r="J122" s="147">
        <f t="shared" ref="J122" si="5">ROUND(G122*I122,2)</f>
        <v>0</v>
      </c>
    </row>
    <row r="123" spans="2:13" s="22" customFormat="1" ht="18" customHeight="1">
      <c r="B123" s="72"/>
      <c r="C123" s="72"/>
      <c r="D123" s="72"/>
      <c r="E123" s="73" t="s">
        <v>312</v>
      </c>
      <c r="F123" s="73" t="s">
        <v>45</v>
      </c>
      <c r="G123" s="74"/>
      <c r="H123" s="75"/>
      <c r="I123" s="76"/>
      <c r="J123" s="76">
        <f>SUM(J118:J122)</f>
        <v>0</v>
      </c>
      <c r="M123" s="208"/>
    </row>
    <row r="124" spans="2:13" s="22" customFormat="1" ht="6" customHeight="1">
      <c r="B124" s="130"/>
      <c r="C124" s="130"/>
      <c r="D124" s="130"/>
      <c r="E124" s="131"/>
      <c r="F124" s="131"/>
      <c r="G124" s="132"/>
      <c r="H124" s="133"/>
      <c r="I124" s="134"/>
      <c r="J124" s="134"/>
    </row>
    <row r="125" spans="2:13" s="22" customFormat="1" ht="18" customHeight="1">
      <c r="B125" s="72" t="s">
        <v>314</v>
      </c>
      <c r="C125" s="72"/>
      <c r="D125" s="72"/>
      <c r="E125" s="73" t="s">
        <v>110</v>
      </c>
      <c r="F125" s="73" t="s">
        <v>45</v>
      </c>
      <c r="G125" s="74"/>
      <c r="H125" s="75"/>
      <c r="I125" s="76"/>
      <c r="J125" s="76"/>
    </row>
    <row r="126" spans="2:13" s="22" customFormat="1" ht="18" customHeight="1">
      <c r="B126" s="142" t="s">
        <v>341</v>
      </c>
      <c r="C126" s="142" t="s">
        <v>62</v>
      </c>
      <c r="D126" s="142" t="s">
        <v>84</v>
      </c>
      <c r="E126" s="192" t="s">
        <v>340</v>
      </c>
      <c r="F126" s="142" t="s">
        <v>42</v>
      </c>
      <c r="G126" s="193">
        <f>'PLANILHA CÁLCULO'!AH6</f>
        <v>163.21279999999999</v>
      </c>
      <c r="H126" s="146"/>
      <c r="I126" s="147">
        <f>ROUND(H126*(1+BDI),2)</f>
        <v>0</v>
      </c>
      <c r="J126" s="147">
        <f t="shared" ref="J126:J133" si="6">ROUND(G126*I126,2)</f>
        <v>0</v>
      </c>
    </row>
    <row r="127" spans="2:13" s="22" customFormat="1" ht="18" customHeight="1">
      <c r="B127" s="142" t="s">
        <v>342</v>
      </c>
      <c r="C127" s="142" t="s">
        <v>62</v>
      </c>
      <c r="D127" s="142" t="s">
        <v>118</v>
      </c>
      <c r="E127" s="192" t="s">
        <v>339</v>
      </c>
      <c r="F127" s="142" t="s">
        <v>42</v>
      </c>
      <c r="G127" s="193">
        <f>'PLANILHA CÁLCULO'!AD6</f>
        <v>109.62</v>
      </c>
      <c r="H127" s="146"/>
      <c r="I127" s="147">
        <f>ROUND(H127*(1+BDI),2)</f>
        <v>0</v>
      </c>
      <c r="J127" s="147">
        <f t="shared" si="6"/>
        <v>0</v>
      </c>
    </row>
    <row r="128" spans="2:13" s="22" customFormat="1" ht="18" customHeight="1">
      <c r="B128" s="142" t="s">
        <v>343</v>
      </c>
      <c r="C128" s="142" t="s">
        <v>71</v>
      </c>
      <c r="D128" s="142">
        <v>88485</v>
      </c>
      <c r="E128" s="192" t="s">
        <v>337</v>
      </c>
      <c r="F128" s="142" t="s">
        <v>42</v>
      </c>
      <c r="G128" s="193">
        <f>G126</f>
        <v>163.21279999999999</v>
      </c>
      <c r="H128" s="146"/>
      <c r="I128" s="147">
        <f>ROUND(H128*(1+BDI),2)</f>
        <v>0</v>
      </c>
      <c r="J128" s="147">
        <f t="shared" si="6"/>
        <v>0</v>
      </c>
    </row>
    <row r="129" spans="2:12" s="22" customFormat="1" ht="18" customHeight="1">
      <c r="B129" s="142" t="s">
        <v>344</v>
      </c>
      <c r="C129" s="142" t="s">
        <v>71</v>
      </c>
      <c r="D129" s="142">
        <v>88484</v>
      </c>
      <c r="E129" s="192" t="s">
        <v>338</v>
      </c>
      <c r="F129" s="142" t="s">
        <v>42</v>
      </c>
      <c r="G129" s="193">
        <f>G127</f>
        <v>109.62</v>
      </c>
      <c r="H129" s="146"/>
      <c r="I129" s="147">
        <f>ROUND(H129*(1+BDI),2)</f>
        <v>0</v>
      </c>
      <c r="J129" s="147">
        <f t="shared" si="6"/>
        <v>0</v>
      </c>
    </row>
    <row r="130" spans="2:12" s="22" customFormat="1" ht="18" customHeight="1">
      <c r="B130" s="142" t="s">
        <v>345</v>
      </c>
      <c r="C130" s="142" t="s">
        <v>71</v>
      </c>
      <c r="D130" s="142">
        <v>88497</v>
      </c>
      <c r="E130" s="144" t="s">
        <v>111</v>
      </c>
      <c r="F130" s="145" t="s">
        <v>42</v>
      </c>
      <c r="G130" s="146">
        <f>G128</f>
        <v>163.21279999999999</v>
      </c>
      <c r="H130" s="146"/>
      <c r="I130" s="147">
        <f>ROUND(H130*(1+BDI),2)</f>
        <v>0</v>
      </c>
      <c r="J130" s="147">
        <f t="shared" si="6"/>
        <v>0</v>
      </c>
    </row>
    <row r="131" spans="2:12" s="22" customFormat="1" ht="18" customHeight="1">
      <c r="B131" s="142" t="s">
        <v>346</v>
      </c>
      <c r="C131" s="142" t="s">
        <v>71</v>
      </c>
      <c r="D131" s="142">
        <v>88496</v>
      </c>
      <c r="E131" s="144" t="s">
        <v>112</v>
      </c>
      <c r="F131" s="145" t="s">
        <v>42</v>
      </c>
      <c r="G131" s="146">
        <f>G129</f>
        <v>109.62</v>
      </c>
      <c r="H131" s="146"/>
      <c r="I131" s="147">
        <f>ROUND(H131*(1+BDI),2)</f>
        <v>0</v>
      </c>
      <c r="J131" s="147">
        <f t="shared" si="6"/>
        <v>0</v>
      </c>
    </row>
    <row r="132" spans="2:12" s="22" customFormat="1" ht="18" customHeight="1">
      <c r="B132" s="142" t="s">
        <v>347</v>
      </c>
      <c r="C132" s="142" t="s">
        <v>71</v>
      </c>
      <c r="D132" s="142">
        <v>88489</v>
      </c>
      <c r="E132" s="144" t="s">
        <v>98</v>
      </c>
      <c r="F132" s="145" t="s">
        <v>42</v>
      </c>
      <c r="G132" s="146">
        <f>G126</f>
        <v>163.21279999999999</v>
      </c>
      <c r="H132" s="146"/>
      <c r="I132" s="147">
        <f>ROUND(H132*(1+BDI),2)</f>
        <v>0</v>
      </c>
      <c r="J132" s="147">
        <f t="shared" si="6"/>
        <v>0</v>
      </c>
    </row>
    <row r="133" spans="2:12" s="22" customFormat="1" ht="18" customHeight="1">
      <c r="B133" s="142" t="s">
        <v>348</v>
      </c>
      <c r="C133" s="142" t="s">
        <v>71</v>
      </c>
      <c r="D133" s="142">
        <v>88488</v>
      </c>
      <c r="E133" s="144" t="s">
        <v>91</v>
      </c>
      <c r="F133" s="145" t="s">
        <v>42</v>
      </c>
      <c r="G133" s="146">
        <f>G127</f>
        <v>109.62</v>
      </c>
      <c r="H133" s="146"/>
      <c r="I133" s="147">
        <f>ROUND(H133*(1+BDI),2)</f>
        <v>0</v>
      </c>
      <c r="J133" s="147">
        <f t="shared" si="6"/>
        <v>0</v>
      </c>
    </row>
    <row r="134" spans="2:12" s="22" customFormat="1" ht="18" customHeight="1">
      <c r="B134" s="72"/>
      <c r="C134" s="72"/>
      <c r="D134" s="72"/>
      <c r="E134" s="73" t="s">
        <v>313</v>
      </c>
      <c r="F134" s="73" t="s">
        <v>45</v>
      </c>
      <c r="G134" s="74"/>
      <c r="H134" s="75"/>
      <c r="I134" s="76"/>
      <c r="J134" s="76">
        <f>SUM(J126:J133)</f>
        <v>0</v>
      </c>
      <c r="L134" s="208"/>
    </row>
    <row r="135" spans="2:12" s="22" customFormat="1" ht="7.5" customHeight="1">
      <c r="B135" s="130"/>
      <c r="C135" s="130"/>
      <c r="D135" s="130"/>
      <c r="E135" s="131"/>
      <c r="F135" s="131"/>
      <c r="G135" s="132"/>
      <c r="H135" s="133"/>
      <c r="I135" s="134"/>
      <c r="J135" s="134"/>
    </row>
    <row r="136" spans="2:12" s="22" customFormat="1" ht="18" customHeight="1">
      <c r="B136" s="72" t="s">
        <v>315</v>
      </c>
      <c r="C136" s="72"/>
      <c r="D136" s="72"/>
      <c r="E136" s="73" t="s">
        <v>67</v>
      </c>
      <c r="F136" s="73" t="s">
        <v>45</v>
      </c>
      <c r="G136" s="74"/>
      <c r="H136" s="75"/>
      <c r="I136" s="76"/>
      <c r="J136" s="76"/>
    </row>
    <row r="137" spans="2:12" s="22" customFormat="1" ht="30.75" customHeight="1">
      <c r="B137" s="140" t="s">
        <v>363</v>
      </c>
      <c r="C137" s="142" t="s">
        <v>71</v>
      </c>
      <c r="D137" s="142">
        <v>95781</v>
      </c>
      <c r="E137" s="144" t="s">
        <v>288</v>
      </c>
      <c r="F137" s="145" t="s">
        <v>251</v>
      </c>
      <c r="G137" s="161">
        <v>5</v>
      </c>
      <c r="H137" s="146"/>
      <c r="I137" s="147">
        <f>ROUND(H137*(1+BDI),2)</f>
        <v>0</v>
      </c>
      <c r="J137" s="147">
        <f t="shared" ref="J137:J141" si="7">ROUND(G137*I137,2)</f>
        <v>0</v>
      </c>
    </row>
    <row r="138" spans="2:12" s="22" customFormat="1" ht="23.25" customHeight="1">
      <c r="B138" s="140" t="s">
        <v>364</v>
      </c>
      <c r="C138" s="142" t="s">
        <v>71</v>
      </c>
      <c r="D138" s="142">
        <v>91925</v>
      </c>
      <c r="E138" s="144" t="s">
        <v>1140</v>
      </c>
      <c r="F138" s="145" t="s">
        <v>43</v>
      </c>
      <c r="G138" s="146">
        <f>(9.56*3+2.38)*2</f>
        <v>62.12</v>
      </c>
      <c r="H138" s="146"/>
      <c r="I138" s="147">
        <f>ROUND(H138*(1+BDI),2)</f>
        <v>0</v>
      </c>
      <c r="J138" s="147">
        <f t="shared" si="7"/>
        <v>0</v>
      </c>
    </row>
    <row r="139" spans="2:12" s="22" customFormat="1" ht="18" customHeight="1">
      <c r="B139" s="140" t="s">
        <v>365</v>
      </c>
      <c r="C139" s="142" t="s">
        <v>71</v>
      </c>
      <c r="D139" s="142">
        <v>91927</v>
      </c>
      <c r="E139" s="144" t="s">
        <v>1141</v>
      </c>
      <c r="F139" s="145" t="s">
        <v>43</v>
      </c>
      <c r="G139" s="146">
        <f>9*2+9.56+2.38</f>
        <v>29.94</v>
      </c>
      <c r="H139" s="146"/>
      <c r="I139" s="147">
        <f>ROUND(H139*(1+BDI),2)</f>
        <v>0</v>
      </c>
      <c r="J139" s="147">
        <f>ROUND(G139*I139,2)</f>
        <v>0</v>
      </c>
    </row>
    <row r="140" spans="2:12" s="22" customFormat="1" ht="18" customHeight="1">
      <c r="B140" s="140" t="s">
        <v>366</v>
      </c>
      <c r="C140" s="142" t="s">
        <v>71</v>
      </c>
      <c r="D140" s="142">
        <v>91953</v>
      </c>
      <c r="E140" s="144" t="s">
        <v>100</v>
      </c>
      <c r="F140" s="145" t="s">
        <v>72</v>
      </c>
      <c r="G140" s="146">
        <v>3</v>
      </c>
      <c r="H140" s="146"/>
      <c r="I140" s="147">
        <f>ROUND(H140*(1+BDI),2)</f>
        <v>0</v>
      </c>
      <c r="J140" s="147">
        <f t="shared" si="7"/>
        <v>0</v>
      </c>
    </row>
    <row r="141" spans="2:12" s="22" customFormat="1" ht="18" customHeight="1">
      <c r="B141" s="140" t="s">
        <v>367</v>
      </c>
      <c r="C141" s="142" t="s">
        <v>71</v>
      </c>
      <c r="D141" s="142">
        <v>92004</v>
      </c>
      <c r="E141" s="144" t="s">
        <v>101</v>
      </c>
      <c r="F141" s="145" t="s">
        <v>72</v>
      </c>
      <c r="G141" s="146">
        <v>3</v>
      </c>
      <c r="H141" s="146"/>
      <c r="I141" s="147">
        <f>ROUND(H141*(1+BDI),2)</f>
        <v>0</v>
      </c>
      <c r="J141" s="147">
        <f t="shared" si="7"/>
        <v>0</v>
      </c>
    </row>
    <row r="142" spans="2:12" s="22" customFormat="1" ht="26.25" customHeight="1">
      <c r="B142" s="140" t="s">
        <v>368</v>
      </c>
      <c r="C142" s="142" t="s">
        <v>71</v>
      </c>
      <c r="D142" s="142">
        <v>95781</v>
      </c>
      <c r="E142" s="144" t="s">
        <v>303</v>
      </c>
      <c r="F142" s="145" t="s">
        <v>251</v>
      </c>
      <c r="G142" s="146">
        <v>18</v>
      </c>
      <c r="H142" s="146"/>
      <c r="I142" s="147">
        <f>ROUND(H142*(1+BDI),2)</f>
        <v>0</v>
      </c>
      <c r="J142" s="147">
        <f>ROUND(G142*I142,2)</f>
        <v>0</v>
      </c>
    </row>
    <row r="143" spans="2:12" s="22" customFormat="1" ht="18" customHeight="1">
      <c r="B143" s="140" t="s">
        <v>369</v>
      </c>
      <c r="C143" s="142" t="s">
        <v>170</v>
      </c>
      <c r="D143" s="142" t="s">
        <v>280</v>
      </c>
      <c r="E143" s="144" t="s">
        <v>279</v>
      </c>
      <c r="F143" s="145" t="s">
        <v>43</v>
      </c>
      <c r="G143" s="146">
        <f>9.56*3+2.38+15</f>
        <v>46.06</v>
      </c>
      <c r="H143" s="146"/>
      <c r="I143" s="147">
        <f>ROUND(H143*(1+BDI),2)</f>
        <v>0</v>
      </c>
      <c r="J143" s="147">
        <f>ROUND(G143*I143,2)</f>
        <v>0</v>
      </c>
    </row>
    <row r="144" spans="2:12" s="22" customFormat="1" ht="33" customHeight="1">
      <c r="B144" s="140" t="s">
        <v>370</v>
      </c>
      <c r="C144" s="142" t="s">
        <v>170</v>
      </c>
      <c r="D144" s="142" t="s">
        <v>335</v>
      </c>
      <c r="E144" s="144" t="s">
        <v>336</v>
      </c>
      <c r="F144" s="145" t="s">
        <v>251</v>
      </c>
      <c r="G144" s="146">
        <v>18</v>
      </c>
      <c r="H144" s="146"/>
      <c r="I144" s="147">
        <f>ROUND(H144*(1+BDI),2)</f>
        <v>0</v>
      </c>
      <c r="J144" s="147">
        <f>ROUND(G144*I144,2)</f>
        <v>0</v>
      </c>
    </row>
    <row r="145" spans="2:12" s="22" customFormat="1" ht="18" customHeight="1">
      <c r="B145" s="72"/>
      <c r="C145" s="72"/>
      <c r="D145" s="72"/>
      <c r="E145" s="73" t="s">
        <v>320</v>
      </c>
      <c r="F145" s="73" t="s">
        <v>45</v>
      </c>
      <c r="G145" s="74"/>
      <c r="H145" s="75"/>
      <c r="I145" s="76"/>
      <c r="J145" s="76">
        <f>SUM(J137:J144)</f>
        <v>0</v>
      </c>
      <c r="L145" s="208"/>
    </row>
    <row r="146" spans="2:12" s="22" customFormat="1" ht="9" customHeight="1">
      <c r="B146" s="130"/>
      <c r="C146" s="130"/>
      <c r="D146" s="130"/>
      <c r="E146" s="131"/>
      <c r="F146" s="131"/>
      <c r="G146" s="132"/>
      <c r="H146" s="133"/>
      <c r="I146" s="134"/>
      <c r="J146" s="134"/>
    </row>
    <row r="147" spans="2:12" s="22" customFormat="1" ht="18" customHeight="1">
      <c r="B147" s="72" t="s">
        <v>316</v>
      </c>
      <c r="C147" s="72"/>
      <c r="D147" s="72"/>
      <c r="E147" s="73" t="s">
        <v>242</v>
      </c>
      <c r="F147" s="73" t="s">
        <v>45</v>
      </c>
      <c r="G147" s="74"/>
      <c r="H147" s="75"/>
      <c r="I147" s="76"/>
      <c r="J147" s="76"/>
    </row>
    <row r="148" spans="2:12" s="22" customFormat="1" ht="18" customHeight="1">
      <c r="B148" s="140" t="s">
        <v>371</v>
      </c>
      <c r="C148" s="142" t="s">
        <v>170</v>
      </c>
      <c r="D148" s="142" t="s">
        <v>324</v>
      </c>
      <c r="E148" s="144" t="s">
        <v>323</v>
      </c>
      <c r="F148" s="145" t="s">
        <v>251</v>
      </c>
      <c r="G148" s="146">
        <v>1</v>
      </c>
      <c r="H148" s="146"/>
      <c r="I148" s="147">
        <f>ROUND(H148*(1+BDI),2)</f>
        <v>0</v>
      </c>
      <c r="J148" s="147">
        <f>ROUND(G148*I148,2)</f>
        <v>0</v>
      </c>
    </row>
    <row r="149" spans="2:12" s="22" customFormat="1" ht="18" customHeight="1">
      <c r="B149" s="140" t="s">
        <v>372</v>
      </c>
      <c r="C149" s="142" t="s">
        <v>170</v>
      </c>
      <c r="D149" s="142" t="s">
        <v>284</v>
      </c>
      <c r="E149" s="144" t="s">
        <v>252</v>
      </c>
      <c r="F149" s="145" t="s">
        <v>251</v>
      </c>
      <c r="G149" s="146">
        <v>1</v>
      </c>
      <c r="H149" s="146"/>
      <c r="I149" s="147">
        <f>ROUND(H149*(1+BDI),2)</f>
        <v>0</v>
      </c>
      <c r="J149" s="147">
        <f>ROUND(G149*I149,2)</f>
        <v>0</v>
      </c>
    </row>
    <row r="150" spans="2:12" s="22" customFormat="1" ht="18" customHeight="1">
      <c r="B150" s="140" t="s">
        <v>373</v>
      </c>
      <c r="C150" s="142" t="s">
        <v>71</v>
      </c>
      <c r="D150" s="142">
        <v>37556</v>
      </c>
      <c r="E150" s="144" t="s">
        <v>254</v>
      </c>
      <c r="F150" s="145" t="s">
        <v>251</v>
      </c>
      <c r="G150" s="146">
        <v>1</v>
      </c>
      <c r="H150" s="146"/>
      <c r="I150" s="147">
        <f>ROUND(H150*(1+BDI),2)</f>
        <v>0</v>
      </c>
      <c r="J150" s="147">
        <f>ROUND(G150*I150,2)</f>
        <v>0</v>
      </c>
    </row>
    <row r="151" spans="2:12" s="129" customFormat="1" ht="18" customHeight="1">
      <c r="B151" s="140" t="s">
        <v>374</v>
      </c>
      <c r="C151" s="142" t="s">
        <v>71</v>
      </c>
      <c r="D151" s="142">
        <v>37539</v>
      </c>
      <c r="E151" s="144" t="s">
        <v>297</v>
      </c>
      <c r="F151" s="145" t="s">
        <v>251</v>
      </c>
      <c r="G151" s="146">
        <v>2</v>
      </c>
      <c r="H151" s="146"/>
      <c r="I151" s="147">
        <f>ROUND(H151*(1+BDI),2)</f>
        <v>0</v>
      </c>
      <c r="J151" s="147">
        <f>ROUND(G151*I151,2)</f>
        <v>0</v>
      </c>
    </row>
    <row r="152" spans="2:12" s="129" customFormat="1" ht="18" customHeight="1">
      <c r="B152" s="72"/>
      <c r="C152" s="72"/>
      <c r="D152" s="72"/>
      <c r="E152" s="73" t="s">
        <v>319</v>
      </c>
      <c r="F152" s="73" t="s">
        <v>45</v>
      </c>
      <c r="G152" s="74"/>
      <c r="H152" s="75"/>
      <c r="I152" s="76"/>
      <c r="J152" s="76">
        <f>SUM(J148:J151)</f>
        <v>0</v>
      </c>
    </row>
    <row r="153" spans="2:12" s="129" customFormat="1" ht="6" customHeight="1">
      <c r="B153" s="130"/>
      <c r="C153" s="130"/>
      <c r="D153" s="130"/>
      <c r="E153" s="131"/>
      <c r="F153" s="131"/>
      <c r="G153" s="132"/>
      <c r="H153" s="133"/>
      <c r="I153" s="134"/>
      <c r="J153" s="134"/>
    </row>
    <row r="154" spans="2:12" s="129" customFormat="1" ht="18" customHeight="1">
      <c r="B154" s="72" t="s">
        <v>317</v>
      </c>
      <c r="C154" s="72"/>
      <c r="D154" s="72"/>
      <c r="E154" s="73" t="s">
        <v>257</v>
      </c>
      <c r="F154" s="73" t="s">
        <v>45</v>
      </c>
      <c r="G154" s="74"/>
      <c r="H154" s="75"/>
      <c r="I154" s="76"/>
      <c r="J154" s="76"/>
    </row>
    <row r="155" spans="2:12" s="129" customFormat="1" ht="18" customHeight="1">
      <c r="B155" s="140" t="s">
        <v>326</v>
      </c>
      <c r="C155" s="142" t="s">
        <v>170</v>
      </c>
      <c r="D155" s="142" t="s">
        <v>269</v>
      </c>
      <c r="E155" s="144" t="s">
        <v>268</v>
      </c>
      <c r="F155" s="145" t="s">
        <v>251</v>
      </c>
      <c r="G155" s="146">
        <v>2</v>
      </c>
      <c r="H155" s="146"/>
      <c r="I155" s="147">
        <f>ROUND(H155*(1+BDI),2)</f>
        <v>0</v>
      </c>
      <c r="J155" s="147">
        <f>ROUND(G155*I155,2)</f>
        <v>0</v>
      </c>
    </row>
    <row r="156" spans="2:12" s="129" customFormat="1" ht="18" customHeight="1">
      <c r="B156" s="140" t="s">
        <v>327</v>
      </c>
      <c r="C156" s="142" t="s">
        <v>62</v>
      </c>
      <c r="D156" s="142" t="s">
        <v>80</v>
      </c>
      <c r="E156" s="144" t="s">
        <v>325</v>
      </c>
      <c r="F156" s="145" t="s">
        <v>251</v>
      </c>
      <c r="G156" s="146">
        <v>1</v>
      </c>
      <c r="H156" s="146"/>
      <c r="I156" s="147">
        <f>ROUND(H156*(1+BDI),2)</f>
        <v>0</v>
      </c>
      <c r="J156" s="147">
        <f>ROUND(G156*I156,2)</f>
        <v>0</v>
      </c>
    </row>
    <row r="157" spans="2:12" s="129" customFormat="1" ht="18" customHeight="1">
      <c r="B157" s="140" t="s">
        <v>328</v>
      </c>
      <c r="C157" s="142" t="s">
        <v>170</v>
      </c>
      <c r="D157" s="142" t="s">
        <v>265</v>
      </c>
      <c r="E157" s="144" t="s">
        <v>266</v>
      </c>
      <c r="F157" s="145" t="s">
        <v>267</v>
      </c>
      <c r="G157" s="146">
        <f>0.2*0.4*3</f>
        <v>0.24000000000000005</v>
      </c>
      <c r="H157" s="146"/>
      <c r="I157" s="147">
        <f>ROUND(H157*(1+BDI),2)</f>
        <v>0</v>
      </c>
      <c r="J157" s="147">
        <f>ROUND(G157*I157,2)</f>
        <v>0</v>
      </c>
    </row>
    <row r="158" spans="2:12" s="129" customFormat="1" ht="18" customHeight="1">
      <c r="B158" s="140" t="s">
        <v>329</v>
      </c>
      <c r="C158" s="142" t="s">
        <v>271</v>
      </c>
      <c r="D158" s="142" t="s">
        <v>270</v>
      </c>
      <c r="E158" s="144" t="s">
        <v>272</v>
      </c>
      <c r="F158" s="145" t="s">
        <v>43</v>
      </c>
      <c r="G158" s="146">
        <f>3.53+3.53</f>
        <v>7.06</v>
      </c>
      <c r="H158" s="146"/>
      <c r="I158" s="147">
        <f>ROUND(H158*(1+BDI),2)</f>
        <v>0</v>
      </c>
      <c r="J158" s="147">
        <f>ROUND(G158*I158,2)</f>
        <v>0</v>
      </c>
    </row>
    <row r="159" spans="2:12" s="129" customFormat="1" ht="18" customHeight="1">
      <c r="B159" s="72"/>
      <c r="C159" s="72"/>
      <c r="D159" s="72"/>
      <c r="E159" s="73" t="s">
        <v>318</v>
      </c>
      <c r="F159" s="73" t="s">
        <v>45</v>
      </c>
      <c r="G159" s="74"/>
      <c r="H159" s="75"/>
      <c r="I159" s="76"/>
      <c r="J159" s="76">
        <f>SUM(J155:J158)</f>
        <v>0</v>
      </c>
      <c r="L159" s="209"/>
    </row>
    <row r="160" spans="2:12" s="129" customFormat="1" ht="5.25" customHeight="1">
      <c r="B160" s="130"/>
      <c r="C160" s="130"/>
      <c r="D160" s="130"/>
      <c r="E160" s="131"/>
      <c r="F160" s="131"/>
      <c r="G160" s="132"/>
      <c r="H160" s="133"/>
      <c r="I160" s="134"/>
      <c r="J160" s="134"/>
    </row>
    <row r="161" spans="2:12" s="22" customFormat="1" ht="18" customHeight="1">
      <c r="B161" s="336" t="s">
        <v>290</v>
      </c>
      <c r="C161" s="337"/>
      <c r="D161" s="337"/>
      <c r="E161" s="337"/>
      <c r="F161" s="337"/>
      <c r="G161" s="337"/>
      <c r="H161" s="337"/>
      <c r="I161" s="338"/>
      <c r="J161" s="207">
        <f>J159+J152+J145+J134+J123+J115</f>
        <v>0</v>
      </c>
    </row>
    <row r="162" spans="2:12" s="22" customFormat="1" ht="9" customHeight="1">
      <c r="B162" s="170"/>
      <c r="C162" s="170"/>
      <c r="D162" s="170"/>
      <c r="E162" s="171"/>
      <c r="F162" s="171"/>
      <c r="G162" s="172"/>
      <c r="H162" s="173"/>
      <c r="I162" s="173"/>
      <c r="J162" s="174"/>
    </row>
    <row r="163" spans="2:12" s="22" customFormat="1" ht="18" customHeight="1">
      <c r="B163" s="314" t="s">
        <v>663</v>
      </c>
      <c r="C163" s="315"/>
      <c r="D163" s="315"/>
      <c r="E163" s="315"/>
      <c r="F163" s="315"/>
      <c r="G163" s="315"/>
      <c r="H163" s="315"/>
      <c r="I163" s="315"/>
      <c r="J163" s="316"/>
    </row>
    <row r="164" spans="2:12" s="22" customFormat="1" ht="18" customHeight="1">
      <c r="B164" s="314" t="s">
        <v>376</v>
      </c>
      <c r="C164" s="315"/>
      <c r="D164" s="315"/>
      <c r="E164" s="315"/>
      <c r="F164" s="315"/>
      <c r="G164" s="315"/>
      <c r="H164" s="315"/>
      <c r="I164" s="315"/>
      <c r="J164" s="316"/>
    </row>
    <row r="165" spans="2:12" s="22" customFormat="1" ht="18" customHeight="1">
      <c r="B165" s="72" t="s">
        <v>377</v>
      </c>
      <c r="C165" s="72"/>
      <c r="D165" s="72"/>
      <c r="E165" s="73" t="s">
        <v>89</v>
      </c>
      <c r="F165" s="73" t="s">
        <v>45</v>
      </c>
      <c r="G165" s="74"/>
      <c r="H165" s="75"/>
      <c r="I165" s="76"/>
      <c r="J165" s="76"/>
    </row>
    <row r="166" spans="2:12" s="22" customFormat="1" ht="18" customHeight="1">
      <c r="B166" s="140" t="s">
        <v>378</v>
      </c>
      <c r="C166" s="140" t="s">
        <v>71</v>
      </c>
      <c r="D166" s="140">
        <v>97633</v>
      </c>
      <c r="E166" s="148" t="s">
        <v>353</v>
      </c>
      <c r="F166" s="140" t="s">
        <v>42</v>
      </c>
      <c r="G166" s="161">
        <f>'PLANILHA CÁLCULO'!F7+'PLANILHA CÁLCULO'!F8</f>
        <v>75.116199999999992</v>
      </c>
      <c r="H166" s="146"/>
      <c r="I166" s="147">
        <f>ROUND(H166*(1+BDI),2)</f>
        <v>0</v>
      </c>
      <c r="J166" s="147">
        <f>ROUND(G166*I166,2)</f>
        <v>0</v>
      </c>
    </row>
    <row r="167" spans="2:12" s="22" customFormat="1" ht="18" customHeight="1">
      <c r="B167" s="140" t="s">
        <v>418</v>
      </c>
      <c r="C167" s="140" t="s">
        <v>71</v>
      </c>
      <c r="D167" s="140">
        <v>97632</v>
      </c>
      <c r="E167" s="148" t="s">
        <v>354</v>
      </c>
      <c r="F167" s="140" t="s">
        <v>43</v>
      </c>
      <c r="G167" s="161">
        <f>'PLANILHA CÁLCULO'!E8+(7.98*4)</f>
        <v>39.18</v>
      </c>
      <c r="H167" s="146"/>
      <c r="I167" s="147">
        <f>ROUND(H167*(1+BDI),2)</f>
        <v>0</v>
      </c>
      <c r="J167" s="147">
        <f>ROUND(G167*I167,2)</f>
        <v>0</v>
      </c>
    </row>
    <row r="168" spans="2:12" s="22" customFormat="1" ht="18" customHeight="1">
      <c r="B168" s="140" t="s">
        <v>419</v>
      </c>
      <c r="C168" s="142" t="s">
        <v>71</v>
      </c>
      <c r="D168" s="142">
        <v>104793</v>
      </c>
      <c r="E168" s="148" t="s">
        <v>304</v>
      </c>
      <c r="F168" s="140" t="s">
        <v>43</v>
      </c>
      <c r="G168" s="161">
        <v>100</v>
      </c>
      <c r="H168" s="146"/>
      <c r="I168" s="147">
        <f>ROUND(H168*(1+BDI),2)</f>
        <v>0</v>
      </c>
      <c r="J168" s="147">
        <f t="shared" ref="J168:J170" si="8">ROUND(G168*I168,2)</f>
        <v>0</v>
      </c>
    </row>
    <row r="169" spans="2:12" s="22" customFormat="1" ht="18" customHeight="1">
      <c r="B169" s="140" t="s">
        <v>420</v>
      </c>
      <c r="C169" s="142" t="s">
        <v>71</v>
      </c>
      <c r="D169" s="142">
        <v>97660</v>
      </c>
      <c r="E169" s="148" t="s">
        <v>305</v>
      </c>
      <c r="F169" s="140" t="s">
        <v>72</v>
      </c>
      <c r="G169" s="161">
        <v>3</v>
      </c>
      <c r="H169" s="146"/>
      <c r="I169" s="147">
        <f>ROUND(H169*(1+BDI),2)</f>
        <v>0</v>
      </c>
      <c r="J169" s="147">
        <f t="shared" si="8"/>
        <v>0</v>
      </c>
    </row>
    <row r="170" spans="2:12" s="22" customFormat="1" ht="18" customHeight="1">
      <c r="B170" s="140" t="s">
        <v>421</v>
      </c>
      <c r="C170" s="142" t="s">
        <v>71</v>
      </c>
      <c r="D170" s="142">
        <v>97665</v>
      </c>
      <c r="E170" s="148" t="s">
        <v>306</v>
      </c>
      <c r="F170" s="140" t="s">
        <v>72</v>
      </c>
      <c r="G170" s="161">
        <f>8*3</f>
        <v>24</v>
      </c>
      <c r="H170" s="146"/>
      <c r="I170" s="147">
        <f>ROUND(H170*(1+BDI),2)</f>
        <v>0</v>
      </c>
      <c r="J170" s="147">
        <f t="shared" si="8"/>
        <v>0</v>
      </c>
    </row>
    <row r="171" spans="2:12" s="129" customFormat="1" ht="18" customHeight="1">
      <c r="B171" s="140" t="s">
        <v>422</v>
      </c>
      <c r="C171" s="142" t="s">
        <v>71</v>
      </c>
      <c r="D171" s="142">
        <v>97644</v>
      </c>
      <c r="E171" s="148" t="s">
        <v>108</v>
      </c>
      <c r="F171" s="140" t="s">
        <v>42</v>
      </c>
      <c r="G171" s="161">
        <v>2</v>
      </c>
      <c r="H171" s="146"/>
      <c r="I171" s="147">
        <f>ROUND(H171*(1+BDI),2)</f>
        <v>0</v>
      </c>
      <c r="J171" s="147">
        <f>ROUND(G171*I171,2)</f>
        <v>0</v>
      </c>
    </row>
    <row r="172" spans="2:12" s="129" customFormat="1" ht="31.5" customHeight="1">
      <c r="B172" s="140" t="s">
        <v>481</v>
      </c>
      <c r="C172" s="142" t="s">
        <v>71</v>
      </c>
      <c r="D172" s="142">
        <v>96526</v>
      </c>
      <c r="E172" s="148" t="s">
        <v>480</v>
      </c>
      <c r="F172" s="140" t="s">
        <v>44</v>
      </c>
      <c r="G172" s="161">
        <f>(G259+G257+G258)*0.3*0.3</f>
        <v>2.5289999999999999</v>
      </c>
      <c r="H172" s="146"/>
      <c r="I172" s="147">
        <f>ROUND(H172*(1+BDI),2)</f>
        <v>0</v>
      </c>
      <c r="J172" s="147">
        <f>ROUND(G172*I172,2)</f>
        <v>0</v>
      </c>
    </row>
    <row r="173" spans="2:12" s="129" customFormat="1" ht="18" customHeight="1">
      <c r="B173" s="72"/>
      <c r="C173" s="72"/>
      <c r="D173" s="72"/>
      <c r="E173" s="73" t="s">
        <v>423</v>
      </c>
      <c r="F173" s="73" t="s">
        <v>45</v>
      </c>
      <c r="G173" s="74"/>
      <c r="H173" s="75"/>
      <c r="I173" s="76"/>
      <c r="J173" s="76">
        <f>SUM(J166:J172)</f>
        <v>0</v>
      </c>
      <c r="L173" s="209"/>
    </row>
    <row r="174" spans="2:12" s="129" customFormat="1" ht="10.5" customHeight="1">
      <c r="B174" s="130"/>
      <c r="C174" s="130"/>
      <c r="D174" s="130"/>
      <c r="E174" s="131"/>
      <c r="F174" s="131"/>
      <c r="G174" s="132"/>
      <c r="H174" s="133"/>
      <c r="I174" s="134"/>
      <c r="J174" s="134"/>
    </row>
    <row r="175" spans="2:12" s="129" customFormat="1" ht="18" customHeight="1">
      <c r="B175" s="72" t="s">
        <v>424</v>
      </c>
      <c r="C175" s="72"/>
      <c r="D175" s="72"/>
      <c r="E175" s="73" t="s">
        <v>123</v>
      </c>
      <c r="F175" s="73" t="s">
        <v>45</v>
      </c>
      <c r="G175" s="74"/>
      <c r="H175" s="75"/>
      <c r="I175" s="76"/>
      <c r="J175" s="76"/>
    </row>
    <row r="176" spans="2:12" s="129" customFormat="1" ht="18" customHeight="1">
      <c r="B176" s="140" t="s">
        <v>429</v>
      </c>
      <c r="C176" s="140" t="s">
        <v>170</v>
      </c>
      <c r="D176" s="140" t="s">
        <v>171</v>
      </c>
      <c r="E176" s="141" t="s">
        <v>356</v>
      </c>
      <c r="F176" s="140" t="s">
        <v>88</v>
      </c>
      <c r="G176" s="146">
        <v>36</v>
      </c>
      <c r="H176" s="146"/>
      <c r="I176" s="147">
        <f>ROUND(H176*(1+BDI),2)</f>
        <v>0</v>
      </c>
      <c r="J176" s="147">
        <f>ROUND(G176*I176,2)</f>
        <v>0</v>
      </c>
    </row>
    <row r="177" spans="2:13" s="129" customFormat="1" ht="32.25" customHeight="1">
      <c r="B177" s="140" t="s">
        <v>430</v>
      </c>
      <c r="C177" s="140" t="s">
        <v>71</v>
      </c>
      <c r="D177" s="140">
        <v>104598</v>
      </c>
      <c r="E177" s="141" t="s">
        <v>390</v>
      </c>
      <c r="F177" s="140" t="s">
        <v>42</v>
      </c>
      <c r="G177" s="146">
        <f>'PLANILHA CÁLCULO'!U8</f>
        <v>3.2561999999999998</v>
      </c>
      <c r="H177" s="146"/>
      <c r="I177" s="147">
        <f>ROUND(H177*(1+BDI),2)</f>
        <v>0</v>
      </c>
      <c r="J177" s="147">
        <f>ROUND(G177*I177,2)</f>
        <v>0</v>
      </c>
    </row>
    <row r="178" spans="2:13" s="129" customFormat="1" ht="18" customHeight="1">
      <c r="B178" s="140" t="s">
        <v>431</v>
      </c>
      <c r="C178" s="142" t="s">
        <v>71</v>
      </c>
      <c r="D178" s="143">
        <v>88650</v>
      </c>
      <c r="E178" s="144" t="s">
        <v>358</v>
      </c>
      <c r="F178" s="145" t="s">
        <v>43</v>
      </c>
      <c r="G178" s="146">
        <f>'PLANILHA CÁLCULO'!Z8</f>
        <v>7.26</v>
      </c>
      <c r="H178" s="146"/>
      <c r="I178" s="147">
        <f>ROUND(H178*(1+BDI),2)</f>
        <v>0</v>
      </c>
      <c r="J178" s="147">
        <f t="shared" ref="J178:J180" si="9">ROUND(G178*I178,2)</f>
        <v>0</v>
      </c>
    </row>
    <row r="179" spans="2:13" s="129" customFormat="1" ht="18" customHeight="1">
      <c r="B179" s="140" t="s">
        <v>555</v>
      </c>
      <c r="C179" s="142" t="s">
        <v>71</v>
      </c>
      <c r="D179" s="143">
        <v>101727</v>
      </c>
      <c r="E179" s="144" t="s">
        <v>553</v>
      </c>
      <c r="F179" s="145" t="s">
        <v>42</v>
      </c>
      <c r="G179" s="146">
        <f>'PLANILHA CÁLCULO'!V7</f>
        <v>71.86</v>
      </c>
      <c r="H179" s="146"/>
      <c r="I179" s="147">
        <f>ROUND(H179*(1+BDI),2)</f>
        <v>0</v>
      </c>
      <c r="J179" s="147">
        <f t="shared" si="9"/>
        <v>0</v>
      </c>
    </row>
    <row r="180" spans="2:13" s="129" customFormat="1" ht="18" customHeight="1">
      <c r="B180" s="140" t="s">
        <v>1130</v>
      </c>
      <c r="C180" s="142" t="s">
        <v>62</v>
      </c>
      <c r="D180" s="159" t="s">
        <v>63</v>
      </c>
      <c r="E180" s="144" t="s">
        <v>183</v>
      </c>
      <c r="F180" s="145" t="s">
        <v>43</v>
      </c>
      <c r="G180" s="146">
        <f>'PLANILHA CÁLCULO'!Y7</f>
        <v>41.29</v>
      </c>
      <c r="H180" s="146"/>
      <c r="I180" s="147">
        <f>ROUND(H180*(1+BDI),2)</f>
        <v>0</v>
      </c>
      <c r="J180" s="147">
        <f t="shared" si="9"/>
        <v>0</v>
      </c>
    </row>
    <row r="181" spans="2:13" s="129" customFormat="1" ht="18" customHeight="1">
      <c r="B181" s="72"/>
      <c r="C181" s="72"/>
      <c r="D181" s="72"/>
      <c r="E181" s="73" t="s">
        <v>496</v>
      </c>
      <c r="F181" s="73" t="s">
        <v>45</v>
      </c>
      <c r="G181" s="74"/>
      <c r="H181" s="75"/>
      <c r="I181" s="76"/>
      <c r="J181" s="76">
        <f>SUM(J176:J180)</f>
        <v>0</v>
      </c>
      <c r="M181" s="208"/>
    </row>
    <row r="182" spans="2:13" s="129" customFormat="1" ht="9" customHeight="1">
      <c r="B182" s="130"/>
      <c r="C182" s="130"/>
      <c r="D182" s="130"/>
      <c r="E182" s="131"/>
      <c r="F182" s="131"/>
      <c r="G182" s="132"/>
      <c r="H182" s="133"/>
      <c r="I182" s="134"/>
      <c r="J182" s="134"/>
    </row>
    <row r="183" spans="2:13" s="129" customFormat="1" ht="18" customHeight="1">
      <c r="B183" s="72" t="s">
        <v>425</v>
      </c>
      <c r="C183" s="72"/>
      <c r="D183" s="72"/>
      <c r="E183" s="73" t="s">
        <v>391</v>
      </c>
      <c r="F183" s="73" t="s">
        <v>45</v>
      </c>
      <c r="G183" s="74"/>
      <c r="H183" s="75"/>
      <c r="I183" s="76"/>
      <c r="J183" s="76"/>
    </row>
    <row r="184" spans="2:13" s="129" customFormat="1" ht="30.75" customHeight="1">
      <c r="B184" s="140" t="s">
        <v>432</v>
      </c>
      <c r="C184" s="140" t="s">
        <v>71</v>
      </c>
      <c r="D184" s="140">
        <v>96361</v>
      </c>
      <c r="E184" s="141" t="s">
        <v>392</v>
      </c>
      <c r="F184" s="140" t="s">
        <v>42</v>
      </c>
      <c r="G184" s="146">
        <f>'PLANILHA CÁLCULO'!AG7</f>
        <v>75.63</v>
      </c>
      <c r="H184" s="146"/>
      <c r="I184" s="147">
        <f>ROUND(H184*(1+BDI),2)</f>
        <v>0</v>
      </c>
      <c r="J184" s="147">
        <f>ROUND(G184*I184,2)</f>
        <v>0</v>
      </c>
    </row>
    <row r="185" spans="2:13" s="129" customFormat="1" ht="18" customHeight="1">
      <c r="B185" s="72"/>
      <c r="C185" s="72"/>
      <c r="D185" s="72"/>
      <c r="E185" s="73" t="s">
        <v>495</v>
      </c>
      <c r="F185" s="73" t="s">
        <v>45</v>
      </c>
      <c r="G185" s="74"/>
      <c r="H185" s="75"/>
      <c r="I185" s="76"/>
      <c r="J185" s="76">
        <f>SUM(J184:J184)</f>
        <v>0</v>
      </c>
      <c r="M185" s="209"/>
    </row>
    <row r="186" spans="2:13" s="129" customFormat="1" ht="9.75" customHeight="1">
      <c r="B186" s="130"/>
      <c r="C186" s="130"/>
      <c r="D186" s="130"/>
      <c r="E186" s="131"/>
      <c r="F186" s="131"/>
      <c r="G186" s="132"/>
      <c r="H186" s="133"/>
      <c r="I186" s="134"/>
      <c r="J186" s="134"/>
    </row>
    <row r="187" spans="2:13" s="129" customFormat="1" ht="18" customHeight="1">
      <c r="B187" s="72" t="s">
        <v>426</v>
      </c>
      <c r="C187" s="72"/>
      <c r="D187" s="72"/>
      <c r="E187" s="73" t="s">
        <v>121</v>
      </c>
      <c r="F187" s="73" t="s">
        <v>45</v>
      </c>
      <c r="G187" s="74"/>
      <c r="H187" s="75"/>
      <c r="I187" s="76"/>
      <c r="J187" s="76"/>
    </row>
    <row r="188" spans="2:13" s="129" customFormat="1" ht="18" customHeight="1">
      <c r="B188" s="140" t="s">
        <v>433</v>
      </c>
      <c r="C188" s="142" t="s">
        <v>170</v>
      </c>
      <c r="D188" s="159" t="s">
        <v>189</v>
      </c>
      <c r="E188" s="144" t="s">
        <v>482</v>
      </c>
      <c r="F188" s="145" t="s">
        <v>42</v>
      </c>
      <c r="G188" s="146">
        <f>1.65*2.13*2</f>
        <v>7.028999999999999</v>
      </c>
      <c r="H188" s="146"/>
      <c r="I188" s="147">
        <f>ROUND(H188*(1+BDI),2)</f>
        <v>0</v>
      </c>
      <c r="J188" s="147">
        <f>ROUND(G188*I188,2)</f>
        <v>0</v>
      </c>
    </row>
    <row r="189" spans="2:13" s="129" customFormat="1" ht="18" customHeight="1">
      <c r="B189" s="140" t="s">
        <v>434</v>
      </c>
      <c r="C189" s="142" t="s">
        <v>170</v>
      </c>
      <c r="D189" s="159" t="s">
        <v>189</v>
      </c>
      <c r="E189" s="144" t="s">
        <v>400</v>
      </c>
      <c r="F189" s="145" t="s">
        <v>42</v>
      </c>
      <c r="G189" s="146">
        <f>2.1*1</f>
        <v>2.1</v>
      </c>
      <c r="H189" s="146"/>
      <c r="I189" s="147">
        <f>ROUND(H189*(1+BDI),2)</f>
        <v>0</v>
      </c>
      <c r="J189" s="147">
        <f>ROUND(G189*I189,2)</f>
        <v>0</v>
      </c>
    </row>
    <row r="190" spans="2:13" s="129" customFormat="1" ht="18" customHeight="1">
      <c r="B190" s="140" t="s">
        <v>435</v>
      </c>
      <c r="C190" s="142" t="s">
        <v>170</v>
      </c>
      <c r="D190" s="159" t="s">
        <v>189</v>
      </c>
      <c r="E190" s="144" t="s">
        <v>440</v>
      </c>
      <c r="F190" s="145" t="s">
        <v>42</v>
      </c>
      <c r="G190" s="146">
        <f>0.9*2.1*2</f>
        <v>3.7800000000000002</v>
      </c>
      <c r="H190" s="146"/>
      <c r="I190" s="147">
        <f>ROUND(H190*(1+BDI),2)</f>
        <v>0</v>
      </c>
      <c r="J190" s="147">
        <f>ROUND(G190*I190,2)</f>
        <v>0</v>
      </c>
    </row>
    <row r="191" spans="2:13" s="129" customFormat="1" ht="18" customHeight="1">
      <c r="B191" s="140" t="s">
        <v>436</v>
      </c>
      <c r="C191" s="142" t="s">
        <v>71</v>
      </c>
      <c r="D191" s="143">
        <v>102162</v>
      </c>
      <c r="E191" s="144" t="s">
        <v>401</v>
      </c>
      <c r="F191" s="145" t="s">
        <v>42</v>
      </c>
      <c r="G191" s="146">
        <f>G188+G189+G190</f>
        <v>12.908999999999999</v>
      </c>
      <c r="H191" s="146"/>
      <c r="I191" s="147">
        <f>ROUND(H191*(1+BDI),2)</f>
        <v>0</v>
      </c>
      <c r="J191" s="147">
        <f>ROUND(G191*I191,2)</f>
        <v>0</v>
      </c>
    </row>
    <row r="192" spans="2:13" s="129" customFormat="1" ht="18" customHeight="1">
      <c r="B192" s="140" t="s">
        <v>1131</v>
      </c>
      <c r="C192" s="142" t="s">
        <v>170</v>
      </c>
      <c r="D192" s="143" t="s">
        <v>559</v>
      </c>
      <c r="E192" s="144" t="s">
        <v>560</v>
      </c>
      <c r="F192" s="145" t="s">
        <v>42</v>
      </c>
      <c r="G192" s="146">
        <f>2*0.9*2.1</f>
        <v>3.7800000000000002</v>
      </c>
      <c r="H192" s="146"/>
      <c r="I192" s="147">
        <f>ROUND(H192*(1+BDI),2)</f>
        <v>0</v>
      </c>
      <c r="J192" s="147">
        <f>ROUND(G192*I192,2)</f>
        <v>0</v>
      </c>
    </row>
    <row r="193" spans="2:13" s="129" customFormat="1" ht="18" customHeight="1">
      <c r="B193" s="72"/>
      <c r="C193" s="72"/>
      <c r="D193" s="72"/>
      <c r="E193" s="73" t="s">
        <v>494</v>
      </c>
      <c r="F193" s="73" t="s">
        <v>45</v>
      </c>
      <c r="G193" s="74"/>
      <c r="H193" s="75"/>
      <c r="I193" s="76"/>
      <c r="J193" s="76">
        <f>SUM(J188:J192)</f>
        <v>0</v>
      </c>
      <c r="M193" s="209"/>
    </row>
    <row r="194" spans="2:13" s="129" customFormat="1" ht="7.5" customHeight="1">
      <c r="B194" s="130"/>
      <c r="C194" s="130"/>
      <c r="D194" s="130"/>
      <c r="E194" s="131"/>
      <c r="F194" s="131"/>
      <c r="G194" s="132"/>
      <c r="H194" s="133"/>
      <c r="I194" s="134"/>
      <c r="J194" s="134"/>
    </row>
    <row r="195" spans="2:13" s="129" customFormat="1" ht="18" customHeight="1">
      <c r="B195" s="72" t="s">
        <v>427</v>
      </c>
      <c r="C195" s="72"/>
      <c r="D195" s="72"/>
      <c r="E195" s="73" t="s">
        <v>405</v>
      </c>
      <c r="F195" s="73" t="s">
        <v>45</v>
      </c>
      <c r="G195" s="74"/>
      <c r="H195" s="75"/>
      <c r="I195" s="76"/>
      <c r="J195" s="76"/>
    </row>
    <row r="196" spans="2:13" s="129" customFormat="1" ht="18" customHeight="1">
      <c r="B196" s="154" t="s">
        <v>438</v>
      </c>
      <c r="C196" s="155" t="s">
        <v>170</v>
      </c>
      <c r="D196" s="160" t="s">
        <v>437</v>
      </c>
      <c r="E196" s="156" t="s">
        <v>407</v>
      </c>
      <c r="F196" s="157" t="s">
        <v>43</v>
      </c>
      <c r="G196" s="158">
        <f>1.75+1.1+1</f>
        <v>3.85</v>
      </c>
      <c r="H196" s="158"/>
      <c r="I196" s="147">
        <f>ROUND(H196*(1+BDI),2)</f>
        <v>0</v>
      </c>
      <c r="J196" s="147">
        <f>ROUND(G196*I196,2)</f>
        <v>0</v>
      </c>
    </row>
    <row r="197" spans="2:13" s="129" customFormat="1" ht="18" customHeight="1">
      <c r="B197" s="72"/>
      <c r="C197" s="72"/>
      <c r="D197" s="72"/>
      <c r="E197" s="73" t="s">
        <v>497</v>
      </c>
      <c r="F197" s="73" t="s">
        <v>45</v>
      </c>
      <c r="G197" s="74"/>
      <c r="H197" s="75"/>
      <c r="I197" s="76"/>
      <c r="J197" s="76">
        <f>SUM(J196:J196)</f>
        <v>0</v>
      </c>
    </row>
    <row r="198" spans="2:13" s="129" customFormat="1" ht="8.25" customHeight="1">
      <c r="B198" s="130"/>
      <c r="C198" s="130"/>
      <c r="D198" s="130"/>
      <c r="E198" s="131"/>
      <c r="F198" s="131"/>
      <c r="G198" s="132"/>
      <c r="H198" s="133"/>
      <c r="I198" s="134"/>
      <c r="J198" s="134"/>
    </row>
    <row r="199" spans="2:13" s="129" customFormat="1" ht="18" customHeight="1">
      <c r="B199" s="72" t="s">
        <v>428</v>
      </c>
      <c r="C199" s="72"/>
      <c r="D199" s="72"/>
      <c r="E199" s="73" t="s">
        <v>109</v>
      </c>
      <c r="F199" s="73" t="s">
        <v>45</v>
      </c>
      <c r="G199" s="74"/>
      <c r="H199" s="75"/>
      <c r="I199" s="76"/>
      <c r="J199" s="76"/>
    </row>
    <row r="200" spans="2:13" s="129" customFormat="1" ht="18" customHeight="1">
      <c r="B200" s="140" t="s">
        <v>439</v>
      </c>
      <c r="C200" s="142" t="s">
        <v>170</v>
      </c>
      <c r="D200" s="143" t="s">
        <v>240</v>
      </c>
      <c r="E200" s="148" t="s">
        <v>241</v>
      </c>
      <c r="F200" s="140" t="s">
        <v>149</v>
      </c>
      <c r="G200" s="146">
        <f>(1.62*2.01)+14.22+6.05+10.78+11.4+13.37+13.45</f>
        <v>72.526199999999989</v>
      </c>
      <c r="H200" s="146"/>
      <c r="I200" s="147">
        <f>ROUND(H200*(1+BDI),2)</f>
        <v>0</v>
      </c>
      <c r="J200" s="147">
        <f>ROUND(G200*I200,2)</f>
        <v>0</v>
      </c>
    </row>
    <row r="201" spans="2:13" s="129" customFormat="1" ht="18" customHeight="1">
      <c r="B201" s="72"/>
      <c r="C201" s="72"/>
      <c r="D201" s="72"/>
      <c r="E201" s="73" t="s">
        <v>498</v>
      </c>
      <c r="F201" s="73" t="s">
        <v>45</v>
      </c>
      <c r="G201" s="74"/>
      <c r="H201" s="75"/>
      <c r="I201" s="76"/>
      <c r="J201" s="76">
        <f>SUM(J200:J200)</f>
        <v>0</v>
      </c>
    </row>
    <row r="202" spans="2:13" s="129" customFormat="1" ht="6" customHeight="1">
      <c r="B202" s="130"/>
      <c r="C202" s="130"/>
      <c r="D202" s="130"/>
      <c r="E202" s="131"/>
      <c r="F202" s="131"/>
      <c r="G202" s="132"/>
      <c r="H202" s="133"/>
      <c r="I202" s="134"/>
      <c r="J202" s="134"/>
    </row>
    <row r="203" spans="2:13" s="129" customFormat="1" ht="18" customHeight="1">
      <c r="B203" s="72" t="s">
        <v>499</v>
      </c>
      <c r="C203" s="72"/>
      <c r="D203" s="72"/>
      <c r="E203" s="73" t="s">
        <v>110</v>
      </c>
      <c r="F203" s="73" t="s">
        <v>45</v>
      </c>
      <c r="G203" s="74"/>
      <c r="H203" s="75"/>
      <c r="I203" s="76"/>
      <c r="J203" s="76"/>
    </row>
    <row r="204" spans="2:13" s="129" customFormat="1" ht="18" customHeight="1">
      <c r="B204" s="142" t="s">
        <v>503</v>
      </c>
      <c r="C204" s="142" t="s">
        <v>62</v>
      </c>
      <c r="D204" s="142" t="s">
        <v>84</v>
      </c>
      <c r="E204" s="192" t="s">
        <v>340</v>
      </c>
      <c r="F204" s="142" t="s">
        <v>42</v>
      </c>
      <c r="G204" s="193">
        <f>(7.98*4)*3+(1.62+2.01+2.01+1.62)*3</f>
        <v>117.54</v>
      </c>
      <c r="H204" s="146"/>
      <c r="I204" s="147">
        <f>ROUND(H204*(1+BDI),2)</f>
        <v>0</v>
      </c>
      <c r="J204" s="147">
        <f t="shared" ref="J204:J209" si="10">ROUND(G204*I204,2)</f>
        <v>0</v>
      </c>
    </row>
    <row r="205" spans="2:13" s="129" customFormat="1" ht="18" customHeight="1">
      <c r="B205" s="142" t="s">
        <v>504</v>
      </c>
      <c r="C205" s="142" t="s">
        <v>71</v>
      </c>
      <c r="D205" s="142">
        <v>88485</v>
      </c>
      <c r="E205" s="192" t="s">
        <v>337</v>
      </c>
      <c r="F205" s="142" t="s">
        <v>42</v>
      </c>
      <c r="G205" s="193">
        <f>G204</f>
        <v>117.54</v>
      </c>
      <c r="H205" s="146"/>
      <c r="I205" s="147">
        <f>ROUND(H205*(1+BDI),2)</f>
        <v>0</v>
      </c>
      <c r="J205" s="147">
        <f t="shared" si="10"/>
        <v>0</v>
      </c>
    </row>
    <row r="206" spans="2:13" s="129" customFormat="1" ht="18" customHeight="1">
      <c r="B206" s="142" t="s">
        <v>505</v>
      </c>
      <c r="C206" s="142" t="s">
        <v>71</v>
      </c>
      <c r="D206" s="142">
        <v>88497</v>
      </c>
      <c r="E206" s="144" t="s">
        <v>111</v>
      </c>
      <c r="F206" s="145" t="s">
        <v>42</v>
      </c>
      <c r="G206" s="146">
        <f>'PLANILHA CÁLCULO'!AH7+'PLANILHA CÁLCULO'!AH8</f>
        <v>268.14</v>
      </c>
      <c r="H206" s="146"/>
      <c r="I206" s="147">
        <f>ROUND(H206*(1+BDI),2)</f>
        <v>0</v>
      </c>
      <c r="J206" s="147">
        <f t="shared" si="10"/>
        <v>0</v>
      </c>
    </row>
    <row r="207" spans="2:13" s="129" customFormat="1" ht="18" customHeight="1">
      <c r="B207" s="142" t="s">
        <v>506</v>
      </c>
      <c r="C207" s="142" t="s">
        <v>71</v>
      </c>
      <c r="D207" s="142">
        <v>88496</v>
      </c>
      <c r="E207" s="144" t="s">
        <v>112</v>
      </c>
      <c r="F207" s="145" t="s">
        <v>42</v>
      </c>
      <c r="G207" s="146">
        <f>'PLANILHA CÁLCULO'!F7</f>
        <v>71.86</v>
      </c>
      <c r="H207" s="146"/>
      <c r="I207" s="147">
        <f>ROUND(H207*(1+BDI),2)</f>
        <v>0</v>
      </c>
      <c r="J207" s="147">
        <f t="shared" si="10"/>
        <v>0</v>
      </c>
    </row>
    <row r="208" spans="2:13" s="129" customFormat="1" ht="18" customHeight="1">
      <c r="B208" s="142" t="s">
        <v>507</v>
      </c>
      <c r="C208" s="142" t="s">
        <v>71</v>
      </c>
      <c r="D208" s="142">
        <v>88489</v>
      </c>
      <c r="E208" s="144" t="s">
        <v>98</v>
      </c>
      <c r="F208" s="145" t="s">
        <v>42</v>
      </c>
      <c r="G208" s="146">
        <f>G206</f>
        <v>268.14</v>
      </c>
      <c r="H208" s="146"/>
      <c r="I208" s="147">
        <f>ROUND(H208*(1+BDI),2)</f>
        <v>0</v>
      </c>
      <c r="J208" s="147">
        <f t="shared" si="10"/>
        <v>0</v>
      </c>
    </row>
    <row r="209" spans="2:12" s="129" customFormat="1" ht="18" customHeight="1">
      <c r="B209" s="142" t="s">
        <v>508</v>
      </c>
      <c r="C209" s="142" t="s">
        <v>71</v>
      </c>
      <c r="D209" s="142">
        <v>88488</v>
      </c>
      <c r="E209" s="144" t="s">
        <v>91</v>
      </c>
      <c r="F209" s="145" t="s">
        <v>42</v>
      </c>
      <c r="G209" s="146">
        <f>G207</f>
        <v>71.86</v>
      </c>
      <c r="H209" s="146"/>
      <c r="I209" s="147">
        <f>ROUND(H209*(1+BDI),2)</f>
        <v>0</v>
      </c>
      <c r="J209" s="147">
        <f t="shared" si="10"/>
        <v>0</v>
      </c>
    </row>
    <row r="210" spans="2:12" s="129" customFormat="1" ht="18" customHeight="1">
      <c r="B210" s="72"/>
      <c r="C210" s="72"/>
      <c r="D210" s="72"/>
      <c r="E210" s="73" t="s">
        <v>535</v>
      </c>
      <c r="F210" s="73" t="s">
        <v>45</v>
      </c>
      <c r="G210" s="74"/>
      <c r="H210" s="75"/>
      <c r="I210" s="76"/>
      <c r="J210" s="76">
        <f>SUM(J204:J209)</f>
        <v>0</v>
      </c>
      <c r="L210" s="209"/>
    </row>
    <row r="211" spans="2:12" s="129" customFormat="1" ht="8.25" customHeight="1">
      <c r="B211" s="130"/>
      <c r="C211" s="130"/>
      <c r="D211" s="130"/>
      <c r="E211" s="131"/>
      <c r="F211" s="131"/>
      <c r="G211" s="132"/>
      <c r="H211" s="133"/>
      <c r="I211" s="134"/>
      <c r="J211" s="134"/>
    </row>
    <row r="212" spans="2:12" s="129" customFormat="1" ht="18" customHeight="1">
      <c r="B212" s="72" t="s">
        <v>500</v>
      </c>
      <c r="C212" s="72"/>
      <c r="D212" s="72"/>
      <c r="E212" s="73" t="s">
        <v>643</v>
      </c>
      <c r="F212" s="73" t="s">
        <v>45</v>
      </c>
      <c r="G212" s="74"/>
      <c r="H212" s="75"/>
      <c r="I212" s="76"/>
      <c r="J212" s="76"/>
    </row>
    <row r="213" spans="2:12" s="129" customFormat="1" ht="18" customHeight="1">
      <c r="B213" s="140" t="s">
        <v>509</v>
      </c>
      <c r="C213" s="142" t="s">
        <v>71</v>
      </c>
      <c r="D213" s="142">
        <v>86901</v>
      </c>
      <c r="E213" s="144" t="s">
        <v>441</v>
      </c>
      <c r="F213" s="145" t="s">
        <v>72</v>
      </c>
      <c r="G213" s="146">
        <v>1</v>
      </c>
      <c r="H213" s="146"/>
      <c r="I213" s="147">
        <f>ROUND(H213*(1+BDI),2)</f>
        <v>0</v>
      </c>
      <c r="J213" s="147">
        <f t="shared" ref="J213:J218" si="11">ROUND(G213*I213,2)</f>
        <v>0</v>
      </c>
    </row>
    <row r="214" spans="2:12" s="129" customFormat="1" ht="18" customHeight="1">
      <c r="B214" s="140" t="s">
        <v>510</v>
      </c>
      <c r="C214" s="142" t="s">
        <v>71</v>
      </c>
      <c r="D214" s="142">
        <v>86883</v>
      </c>
      <c r="E214" s="144" t="s">
        <v>151</v>
      </c>
      <c r="F214" s="145" t="s">
        <v>72</v>
      </c>
      <c r="G214" s="146">
        <v>1</v>
      </c>
      <c r="H214" s="146"/>
      <c r="I214" s="147">
        <f>ROUND(H214*(1+BDI),2)</f>
        <v>0</v>
      </c>
      <c r="J214" s="147">
        <f t="shared" si="11"/>
        <v>0</v>
      </c>
    </row>
    <row r="215" spans="2:12" s="129" customFormat="1" ht="18" customHeight="1">
      <c r="B215" s="140" t="s">
        <v>511</v>
      </c>
      <c r="C215" s="142" t="s">
        <v>71</v>
      </c>
      <c r="D215" s="142">
        <v>86885</v>
      </c>
      <c r="E215" s="144" t="s">
        <v>443</v>
      </c>
      <c r="F215" s="145" t="s">
        <v>72</v>
      </c>
      <c r="G215" s="146">
        <v>2</v>
      </c>
      <c r="H215" s="146"/>
      <c r="I215" s="147">
        <f>ROUND(H215*(1+BDI),2)</f>
        <v>0</v>
      </c>
      <c r="J215" s="147">
        <f t="shared" si="11"/>
        <v>0</v>
      </c>
    </row>
    <row r="216" spans="2:12" s="129" customFormat="1" ht="18" customHeight="1">
      <c r="B216" s="140" t="s">
        <v>512</v>
      </c>
      <c r="C216" s="142" t="s">
        <v>71</v>
      </c>
      <c r="D216" s="142">
        <v>86915</v>
      </c>
      <c r="E216" s="144" t="s">
        <v>444</v>
      </c>
      <c r="F216" s="145" t="s">
        <v>72</v>
      </c>
      <c r="G216" s="146">
        <v>1</v>
      </c>
      <c r="H216" s="146"/>
      <c r="I216" s="147">
        <f>ROUND(H216*(1+BDI),2)</f>
        <v>0</v>
      </c>
      <c r="J216" s="147">
        <f t="shared" si="11"/>
        <v>0</v>
      </c>
    </row>
    <row r="217" spans="2:12" s="129" customFormat="1" ht="18" customHeight="1">
      <c r="B217" s="140" t="s">
        <v>513</v>
      </c>
      <c r="C217" s="142" t="s">
        <v>71</v>
      </c>
      <c r="D217" s="142">
        <v>86931</v>
      </c>
      <c r="E217" s="144" t="s">
        <v>445</v>
      </c>
      <c r="F217" s="145" t="s">
        <v>72</v>
      </c>
      <c r="G217" s="146">
        <v>1</v>
      </c>
      <c r="H217" s="146"/>
      <c r="I217" s="147">
        <f>ROUND(H217*(1+BDI),2)</f>
        <v>0</v>
      </c>
      <c r="J217" s="147">
        <f t="shared" si="11"/>
        <v>0</v>
      </c>
    </row>
    <row r="218" spans="2:12" s="129" customFormat="1" ht="18" customHeight="1">
      <c r="B218" s="140" t="s">
        <v>514</v>
      </c>
      <c r="C218" s="142" t="s">
        <v>71</v>
      </c>
      <c r="D218" s="142">
        <v>100849</v>
      </c>
      <c r="E218" s="144" t="s">
        <v>447</v>
      </c>
      <c r="F218" s="145" t="s">
        <v>72</v>
      </c>
      <c r="G218" s="146">
        <v>1</v>
      </c>
      <c r="H218" s="146"/>
      <c r="I218" s="147">
        <f>ROUND(H218*(1+BDI),2)</f>
        <v>0</v>
      </c>
      <c r="J218" s="147">
        <f t="shared" si="11"/>
        <v>0</v>
      </c>
    </row>
    <row r="219" spans="2:12" s="129" customFormat="1" ht="18" customHeight="1">
      <c r="B219" s="140" t="s">
        <v>578</v>
      </c>
      <c r="C219" s="142" t="s">
        <v>62</v>
      </c>
      <c r="D219" s="142" t="s">
        <v>126</v>
      </c>
      <c r="E219" s="144" t="s">
        <v>488</v>
      </c>
      <c r="F219" s="145" t="s">
        <v>149</v>
      </c>
      <c r="G219" s="146">
        <f>0.3*0.78</f>
        <v>0.23399999999999999</v>
      </c>
      <c r="H219" s="146"/>
      <c r="I219" s="147">
        <f>ROUND(H219*(1+BDI),2)</f>
        <v>0</v>
      </c>
      <c r="J219" s="147">
        <f>ROUND(G219*I219,2)</f>
        <v>0</v>
      </c>
    </row>
    <row r="220" spans="2:12" s="129" customFormat="1" ht="18" customHeight="1">
      <c r="B220" s="140" t="s">
        <v>579</v>
      </c>
      <c r="C220" s="142" t="s">
        <v>71</v>
      </c>
      <c r="D220" s="142">
        <v>20231</v>
      </c>
      <c r="E220" s="144" t="s">
        <v>486</v>
      </c>
      <c r="F220" s="145" t="s">
        <v>448</v>
      </c>
      <c r="G220" s="146">
        <v>0.78</v>
      </c>
      <c r="H220" s="146"/>
      <c r="I220" s="147">
        <f>ROUND(H220*(1+BDI),2)</f>
        <v>0</v>
      </c>
      <c r="J220" s="147">
        <f>ROUND(G220*I220,2)</f>
        <v>0</v>
      </c>
    </row>
    <row r="221" spans="2:12" s="129" customFormat="1" ht="18" customHeight="1">
      <c r="B221" s="140" t="s">
        <v>580</v>
      </c>
      <c r="C221" s="142" t="s">
        <v>170</v>
      </c>
      <c r="D221" s="142" t="s">
        <v>487</v>
      </c>
      <c r="E221" s="144" t="s">
        <v>485</v>
      </c>
      <c r="F221" s="145" t="s">
        <v>72</v>
      </c>
      <c r="G221" s="146">
        <v>1</v>
      </c>
      <c r="H221" s="146"/>
      <c r="I221" s="147">
        <f>ROUND(H221*(1+BDI),2)</f>
        <v>0</v>
      </c>
      <c r="J221" s="147">
        <f>ROUND(G221*I221,2)</f>
        <v>0</v>
      </c>
    </row>
    <row r="222" spans="2:12" s="129" customFormat="1" ht="18" customHeight="1">
      <c r="B222" s="72"/>
      <c r="C222" s="72"/>
      <c r="D222" s="72"/>
      <c r="E222" s="73" t="s">
        <v>536</v>
      </c>
      <c r="F222" s="73" t="s">
        <v>45</v>
      </c>
      <c r="G222" s="74"/>
      <c r="H222" s="75"/>
      <c r="I222" s="76"/>
      <c r="J222" s="76">
        <f>SUM(J213:J221)</f>
        <v>0</v>
      </c>
      <c r="L222" s="209"/>
    </row>
    <row r="223" spans="2:12" s="129" customFormat="1" ht="8.25" customHeight="1">
      <c r="B223" s="130"/>
      <c r="C223" s="130"/>
      <c r="D223" s="130"/>
      <c r="E223" s="131"/>
      <c r="F223" s="131"/>
      <c r="G223" s="132"/>
      <c r="H223" s="133"/>
      <c r="I223" s="134"/>
      <c r="J223" s="134"/>
    </row>
    <row r="224" spans="2:12" s="129" customFormat="1" ht="18" customHeight="1">
      <c r="B224" s="72" t="s">
        <v>501</v>
      </c>
      <c r="C224" s="72"/>
      <c r="D224" s="72"/>
      <c r="E224" s="73" t="s">
        <v>449</v>
      </c>
      <c r="F224" s="73" t="s">
        <v>45</v>
      </c>
      <c r="G224" s="74"/>
      <c r="H224" s="75"/>
      <c r="I224" s="76"/>
      <c r="J224" s="76"/>
    </row>
    <row r="225" spans="2:12" s="129" customFormat="1" ht="18" customHeight="1">
      <c r="B225" s="140" t="s">
        <v>515</v>
      </c>
      <c r="C225" s="142" t="s">
        <v>71</v>
      </c>
      <c r="D225" s="143">
        <v>89402</v>
      </c>
      <c r="E225" s="148" t="s">
        <v>450</v>
      </c>
      <c r="F225" s="140" t="s">
        <v>43</v>
      </c>
      <c r="G225" s="146">
        <v>55</v>
      </c>
      <c r="H225" s="146"/>
      <c r="I225" s="147">
        <f>ROUND(H225*(1+BDI),2)</f>
        <v>0</v>
      </c>
      <c r="J225" s="147">
        <f t="shared" ref="J225:J229" si="12">ROUND(G225*I225,2)</f>
        <v>0</v>
      </c>
    </row>
    <row r="226" spans="2:12" s="129" customFormat="1" ht="18" customHeight="1">
      <c r="B226" s="140" t="s">
        <v>516</v>
      </c>
      <c r="C226" s="142" t="s">
        <v>71</v>
      </c>
      <c r="D226" s="143">
        <v>89481</v>
      </c>
      <c r="E226" s="148" t="s">
        <v>451</v>
      </c>
      <c r="F226" s="140" t="s">
        <v>72</v>
      </c>
      <c r="G226" s="146">
        <v>5</v>
      </c>
      <c r="H226" s="146"/>
      <c r="I226" s="147">
        <f>ROUND(H226*(1+BDI),2)</f>
        <v>0</v>
      </c>
      <c r="J226" s="147">
        <f t="shared" si="12"/>
        <v>0</v>
      </c>
    </row>
    <row r="227" spans="2:12" s="129" customFormat="1" ht="18" customHeight="1">
      <c r="B227" s="140" t="s">
        <v>517</v>
      </c>
      <c r="C227" s="142" t="s">
        <v>71</v>
      </c>
      <c r="D227" s="143">
        <v>89617</v>
      </c>
      <c r="E227" s="148" t="s">
        <v>452</v>
      </c>
      <c r="F227" s="140" t="s">
        <v>72</v>
      </c>
      <c r="G227" s="146">
        <v>4</v>
      </c>
      <c r="H227" s="146"/>
      <c r="I227" s="147">
        <f>ROUND(H227*(1+BDI),2)</f>
        <v>0</v>
      </c>
      <c r="J227" s="147">
        <f t="shared" si="12"/>
        <v>0</v>
      </c>
    </row>
    <row r="228" spans="2:12" s="129" customFormat="1" ht="18" customHeight="1">
      <c r="B228" s="140" t="s">
        <v>518</v>
      </c>
      <c r="C228" s="142" t="s">
        <v>71</v>
      </c>
      <c r="D228" s="143">
        <v>89987</v>
      </c>
      <c r="E228" s="148" t="s">
        <v>453</v>
      </c>
      <c r="F228" s="140" t="s">
        <v>72</v>
      </c>
      <c r="G228" s="146">
        <v>1</v>
      </c>
      <c r="H228" s="146"/>
      <c r="I228" s="147">
        <f>ROUND(H228*(1+BDI),2)</f>
        <v>0</v>
      </c>
      <c r="J228" s="147">
        <f t="shared" si="12"/>
        <v>0</v>
      </c>
    </row>
    <row r="229" spans="2:12" s="129" customFormat="1" ht="18" customHeight="1">
      <c r="B229" s="140" t="s">
        <v>519</v>
      </c>
      <c r="C229" s="142" t="s">
        <v>71</v>
      </c>
      <c r="D229" s="143">
        <v>89366</v>
      </c>
      <c r="E229" s="148" t="s">
        <v>483</v>
      </c>
      <c r="F229" s="140" t="s">
        <v>72</v>
      </c>
      <c r="G229" s="146">
        <v>3</v>
      </c>
      <c r="H229" s="146"/>
      <c r="I229" s="147">
        <f>ROUND(H229*(1+BDI),2)</f>
        <v>0</v>
      </c>
      <c r="J229" s="147">
        <f t="shared" si="12"/>
        <v>0</v>
      </c>
    </row>
    <row r="230" spans="2:12" s="129" customFormat="1" ht="18" customHeight="1">
      <c r="B230" s="140" t="s">
        <v>520</v>
      </c>
      <c r="C230" s="142" t="s">
        <v>71</v>
      </c>
      <c r="D230" s="143">
        <v>89385</v>
      </c>
      <c r="E230" s="148" t="s">
        <v>484</v>
      </c>
      <c r="F230" s="140" t="s">
        <v>72</v>
      </c>
      <c r="G230" s="146">
        <v>7</v>
      </c>
      <c r="H230" s="146"/>
      <c r="I230" s="147">
        <f>ROUND(H230*(1+BDI),2)</f>
        <v>0</v>
      </c>
      <c r="J230" s="147">
        <f>ROUND(G230*I230,2)</f>
        <v>0</v>
      </c>
    </row>
    <row r="231" spans="2:12" s="129" customFormat="1" ht="18" customHeight="1">
      <c r="B231" s="72"/>
      <c r="C231" s="72"/>
      <c r="D231" s="72"/>
      <c r="E231" s="73" t="s">
        <v>537</v>
      </c>
      <c r="F231" s="73" t="s">
        <v>45</v>
      </c>
      <c r="G231" s="74"/>
      <c r="H231" s="75"/>
      <c r="I231" s="76"/>
      <c r="J231" s="76">
        <f>SUM(J225:J230)</f>
        <v>0</v>
      </c>
      <c r="L231" s="209"/>
    </row>
    <row r="232" spans="2:12" s="129" customFormat="1" ht="6" customHeight="1">
      <c r="B232" s="130"/>
      <c r="C232" s="130"/>
      <c r="D232" s="130"/>
      <c r="E232" s="131"/>
      <c r="F232" s="131"/>
      <c r="G232" s="132"/>
      <c r="H232" s="133"/>
      <c r="I232" s="134"/>
      <c r="J232" s="134"/>
    </row>
    <row r="233" spans="2:12" s="129" customFormat="1" ht="18" customHeight="1">
      <c r="B233" s="72" t="s">
        <v>502</v>
      </c>
      <c r="C233" s="72"/>
      <c r="D233" s="72"/>
      <c r="E233" s="73" t="s">
        <v>67</v>
      </c>
      <c r="F233" s="73" t="s">
        <v>45</v>
      </c>
      <c r="G233" s="74"/>
      <c r="H233" s="75"/>
      <c r="I233" s="76"/>
      <c r="J233" s="76"/>
    </row>
    <row r="234" spans="2:12" s="129" customFormat="1" ht="18" customHeight="1">
      <c r="B234" s="140" t="s">
        <v>521</v>
      </c>
      <c r="C234" s="142" t="s">
        <v>71</v>
      </c>
      <c r="D234" s="142">
        <v>91940</v>
      </c>
      <c r="E234" s="144" t="s">
        <v>541</v>
      </c>
      <c r="F234" s="145" t="s">
        <v>251</v>
      </c>
      <c r="G234" s="161">
        <f>51+5</f>
        <v>56</v>
      </c>
      <c r="H234" s="146"/>
      <c r="I234" s="147">
        <f>ROUND(H234*(1+BDI),2)</f>
        <v>0</v>
      </c>
      <c r="J234" s="147">
        <f t="shared" ref="J234:J235" si="13">ROUND(G234*I234,2)</f>
        <v>0</v>
      </c>
    </row>
    <row r="235" spans="2:12" s="129" customFormat="1" ht="18" customHeight="1">
      <c r="B235" s="140" t="s">
        <v>522</v>
      </c>
      <c r="C235" s="142" t="s">
        <v>170</v>
      </c>
      <c r="D235" s="142" t="s">
        <v>542</v>
      </c>
      <c r="E235" s="144" t="s">
        <v>543</v>
      </c>
      <c r="F235" s="145" t="s">
        <v>251</v>
      </c>
      <c r="G235" s="161">
        <v>5</v>
      </c>
      <c r="H235" s="161"/>
      <c r="I235" s="147">
        <f>ROUND(H235*(1+BDI),2)</f>
        <v>0</v>
      </c>
      <c r="J235" s="147">
        <f t="shared" si="13"/>
        <v>0</v>
      </c>
    </row>
    <row r="236" spans="2:12" s="129" customFormat="1" ht="18" customHeight="1">
      <c r="B236" s="140" t="s">
        <v>523</v>
      </c>
      <c r="C236" s="142" t="s">
        <v>71</v>
      </c>
      <c r="D236" s="142">
        <v>95781</v>
      </c>
      <c r="E236" s="144" t="s">
        <v>303</v>
      </c>
      <c r="F236" s="145" t="s">
        <v>251</v>
      </c>
      <c r="G236" s="146">
        <v>14</v>
      </c>
      <c r="H236" s="146"/>
      <c r="I236" s="147">
        <f>ROUND(H236*(1+BDI),2)</f>
        <v>0</v>
      </c>
      <c r="J236" s="147">
        <f>ROUND(G236*I236,2)</f>
        <v>0</v>
      </c>
    </row>
    <row r="237" spans="2:12" s="129" customFormat="1" ht="18" customHeight="1">
      <c r="B237" s="140" t="s">
        <v>524</v>
      </c>
      <c r="C237" s="142" t="s">
        <v>71</v>
      </c>
      <c r="D237" s="142">
        <v>91925</v>
      </c>
      <c r="E237" s="144" t="s">
        <v>1136</v>
      </c>
      <c r="F237" s="145" t="s">
        <v>43</v>
      </c>
      <c r="G237" s="146">
        <v>150</v>
      </c>
      <c r="H237" s="146"/>
      <c r="I237" s="147">
        <f>ROUND(H237*(1+BDI),2)</f>
        <v>0</v>
      </c>
      <c r="J237" s="147">
        <f t="shared" ref="J237" si="14">ROUND(G237*I237,2)</f>
        <v>0</v>
      </c>
    </row>
    <row r="238" spans="2:12" s="129" customFormat="1" ht="18" customHeight="1">
      <c r="B238" s="140" t="s">
        <v>525</v>
      </c>
      <c r="C238" s="142" t="s">
        <v>71</v>
      </c>
      <c r="D238" s="142">
        <v>91927</v>
      </c>
      <c r="E238" s="144" t="s">
        <v>1137</v>
      </c>
      <c r="F238" s="145" t="s">
        <v>43</v>
      </c>
      <c r="G238" s="146">
        <v>300</v>
      </c>
      <c r="H238" s="146"/>
      <c r="I238" s="147">
        <f>ROUND(H238*(1+BDI),2)</f>
        <v>0</v>
      </c>
      <c r="J238" s="147">
        <f>ROUND(G238*I238,2)</f>
        <v>0</v>
      </c>
    </row>
    <row r="239" spans="2:12" s="129" customFormat="1" ht="18" customHeight="1">
      <c r="B239" s="140" t="s">
        <v>526</v>
      </c>
      <c r="C239" s="142" t="s">
        <v>71</v>
      </c>
      <c r="D239" s="142">
        <v>100553</v>
      </c>
      <c r="E239" s="144" t="s">
        <v>551</v>
      </c>
      <c r="F239" s="145" t="s">
        <v>43</v>
      </c>
      <c r="G239" s="146">
        <v>50</v>
      </c>
      <c r="H239" s="146"/>
      <c r="I239" s="147">
        <f>ROUND(H239*(1+BDI),2)</f>
        <v>0</v>
      </c>
      <c r="J239" s="147">
        <f>ROUND(G239*I239,2)</f>
        <v>0</v>
      </c>
    </row>
    <row r="240" spans="2:12" s="129" customFormat="1" ht="18" customHeight="1">
      <c r="B240" s="140" t="s">
        <v>527</v>
      </c>
      <c r="C240" s="142" t="s">
        <v>71</v>
      </c>
      <c r="D240" s="142">
        <v>98299</v>
      </c>
      <c r="E240" s="144" t="s">
        <v>552</v>
      </c>
      <c r="F240" s="145" t="s">
        <v>43</v>
      </c>
      <c r="G240" s="146">
        <v>100</v>
      </c>
      <c r="H240" s="146"/>
      <c r="I240" s="147">
        <f>ROUND(H240*(1+BDI),2)</f>
        <v>0</v>
      </c>
      <c r="J240" s="147">
        <f>ROUND(G240*I240,2)</f>
        <v>0</v>
      </c>
    </row>
    <row r="241" spans="2:12" s="129" customFormat="1" ht="18" customHeight="1">
      <c r="B241" s="140" t="s">
        <v>581</v>
      </c>
      <c r="C241" s="142" t="s">
        <v>71</v>
      </c>
      <c r="D241" s="142">
        <v>91953</v>
      </c>
      <c r="E241" s="144" t="s">
        <v>100</v>
      </c>
      <c r="F241" s="145" t="s">
        <v>251</v>
      </c>
      <c r="G241" s="146">
        <v>6</v>
      </c>
      <c r="H241" s="146"/>
      <c r="I241" s="147">
        <f>ROUND(H241*(1+BDI),2)</f>
        <v>0</v>
      </c>
      <c r="J241" s="147">
        <f t="shared" ref="J241:J245" si="15">ROUND(G241*I241,2)</f>
        <v>0</v>
      </c>
    </row>
    <row r="242" spans="2:12" s="129" customFormat="1" ht="18" customHeight="1">
      <c r="B242" s="140" t="s">
        <v>528</v>
      </c>
      <c r="C242" s="142" t="s">
        <v>71</v>
      </c>
      <c r="D242" s="142">
        <v>92027</v>
      </c>
      <c r="E242" s="144" t="s">
        <v>540</v>
      </c>
      <c r="F242" s="145" t="s">
        <v>251</v>
      </c>
      <c r="G242" s="146">
        <v>1</v>
      </c>
      <c r="H242" s="146"/>
      <c r="I242" s="147">
        <f>ROUND(H242*(1+BDI),2)</f>
        <v>0</v>
      </c>
      <c r="J242" s="147">
        <f t="shared" si="15"/>
        <v>0</v>
      </c>
    </row>
    <row r="243" spans="2:12" s="129" customFormat="1" ht="18" customHeight="1">
      <c r="B243" s="140" t="s">
        <v>529</v>
      </c>
      <c r="C243" s="142" t="s">
        <v>71</v>
      </c>
      <c r="D243" s="142">
        <v>92000</v>
      </c>
      <c r="E243" s="144" t="s">
        <v>564</v>
      </c>
      <c r="F243" s="145" t="s">
        <v>251</v>
      </c>
      <c r="G243" s="146">
        <f>4+5</f>
        <v>9</v>
      </c>
      <c r="H243" s="146"/>
      <c r="I243" s="147">
        <f>ROUND(H243*(1+BDI),2)</f>
        <v>0</v>
      </c>
      <c r="J243" s="147">
        <f t="shared" si="15"/>
        <v>0</v>
      </c>
    </row>
    <row r="244" spans="2:12" s="129" customFormat="1" ht="18" customHeight="1">
      <c r="B244" s="140" t="s">
        <v>530</v>
      </c>
      <c r="C244" s="142" t="s">
        <v>71</v>
      </c>
      <c r="D244" s="142">
        <v>92008</v>
      </c>
      <c r="E244" s="144" t="s">
        <v>544</v>
      </c>
      <c r="F244" s="145" t="s">
        <v>251</v>
      </c>
      <c r="G244" s="146">
        <v>14</v>
      </c>
      <c r="H244" s="146"/>
      <c r="I244" s="147">
        <f>ROUND(H244*(1+BDI),2)</f>
        <v>0</v>
      </c>
      <c r="J244" s="147">
        <f t="shared" si="15"/>
        <v>0</v>
      </c>
    </row>
    <row r="245" spans="2:12" s="129" customFormat="1" ht="18" customHeight="1">
      <c r="B245" s="140" t="s">
        <v>531</v>
      </c>
      <c r="C245" s="142" t="s">
        <v>71</v>
      </c>
      <c r="D245" s="142">
        <v>91996</v>
      </c>
      <c r="E245" s="144" t="s">
        <v>547</v>
      </c>
      <c r="F245" s="145" t="s">
        <v>251</v>
      </c>
      <c r="G245" s="146">
        <v>5</v>
      </c>
      <c r="H245" s="146"/>
      <c r="I245" s="147">
        <f>ROUND(H245*(1+BDI),2)</f>
        <v>0</v>
      </c>
      <c r="J245" s="147">
        <f t="shared" si="15"/>
        <v>0</v>
      </c>
    </row>
    <row r="246" spans="2:12" s="129" customFormat="1" ht="18" customHeight="1">
      <c r="B246" s="140" t="s">
        <v>532</v>
      </c>
      <c r="C246" s="142" t="s">
        <v>71</v>
      </c>
      <c r="D246" s="142">
        <v>92004</v>
      </c>
      <c r="E246" s="144" t="s">
        <v>101</v>
      </c>
      <c r="F246" s="145" t="s">
        <v>251</v>
      </c>
      <c r="G246" s="146">
        <v>11</v>
      </c>
      <c r="H246" s="146"/>
      <c r="I246" s="147">
        <f>ROUND(H246*(1+BDI),2)</f>
        <v>0</v>
      </c>
      <c r="J246" s="147">
        <f>ROUND(G246*I246,2)</f>
        <v>0</v>
      </c>
    </row>
    <row r="247" spans="2:12" s="129" customFormat="1" ht="18" customHeight="1">
      <c r="B247" s="140" t="s">
        <v>533</v>
      </c>
      <c r="C247" s="142" t="s">
        <v>71</v>
      </c>
      <c r="D247" s="142">
        <v>92012</v>
      </c>
      <c r="E247" s="144" t="s">
        <v>546</v>
      </c>
      <c r="F247" s="145" t="s">
        <v>251</v>
      </c>
      <c r="G247" s="146">
        <v>7</v>
      </c>
      <c r="H247" s="146"/>
      <c r="I247" s="147">
        <f>ROUND(H247*(1+BDI),2)</f>
        <v>0</v>
      </c>
      <c r="J247" s="147">
        <f t="shared" ref="J247:J253" si="16">ROUND(G247*I247,2)</f>
        <v>0</v>
      </c>
    </row>
    <row r="248" spans="2:12" s="129" customFormat="1" ht="18" customHeight="1">
      <c r="B248" s="140" t="s">
        <v>582</v>
      </c>
      <c r="C248" s="142" t="s">
        <v>71</v>
      </c>
      <c r="D248" s="142">
        <v>91993</v>
      </c>
      <c r="E248" s="144" t="s">
        <v>545</v>
      </c>
      <c r="F248" s="145" t="s">
        <v>251</v>
      </c>
      <c r="G248" s="146">
        <v>5</v>
      </c>
      <c r="H248" s="146"/>
      <c r="I248" s="147">
        <f>ROUND(H248*(1+BDI),2)</f>
        <v>0</v>
      </c>
      <c r="J248" s="147">
        <f t="shared" si="16"/>
        <v>0</v>
      </c>
    </row>
    <row r="249" spans="2:12" s="129" customFormat="1" ht="18" customHeight="1">
      <c r="B249" s="140" t="s">
        <v>583</v>
      </c>
      <c r="C249" s="142" t="s">
        <v>71</v>
      </c>
      <c r="D249" s="142">
        <v>98307</v>
      </c>
      <c r="E249" s="144" t="s">
        <v>550</v>
      </c>
      <c r="F249" s="145" t="s">
        <v>251</v>
      </c>
      <c r="G249" s="146">
        <v>2</v>
      </c>
      <c r="H249" s="146"/>
      <c r="I249" s="147">
        <f>ROUND(H249*(1+BDI),2)</f>
        <v>0</v>
      </c>
      <c r="J249" s="147">
        <f t="shared" si="16"/>
        <v>0</v>
      </c>
    </row>
    <row r="250" spans="2:12" s="129" customFormat="1" ht="18" customHeight="1">
      <c r="B250" s="140" t="s">
        <v>584</v>
      </c>
      <c r="C250" s="142" t="s">
        <v>71</v>
      </c>
      <c r="D250" s="142">
        <v>98307</v>
      </c>
      <c r="E250" s="144" t="s">
        <v>548</v>
      </c>
      <c r="F250" s="145" t="s">
        <v>251</v>
      </c>
      <c r="G250" s="146">
        <v>6</v>
      </c>
      <c r="H250" s="146"/>
      <c r="I250" s="147">
        <f>ROUND(H250*(1+BDI),2)</f>
        <v>0</v>
      </c>
      <c r="J250" s="147">
        <f t="shared" si="16"/>
        <v>0</v>
      </c>
    </row>
    <row r="251" spans="2:12" s="129" customFormat="1" ht="18" customHeight="1">
      <c r="B251" s="140" t="s">
        <v>585</v>
      </c>
      <c r="C251" s="142" t="s">
        <v>71</v>
      </c>
      <c r="D251" s="142">
        <v>98308</v>
      </c>
      <c r="E251" s="144" t="s">
        <v>549</v>
      </c>
      <c r="F251" s="145" t="s">
        <v>251</v>
      </c>
      <c r="G251" s="146">
        <v>4</v>
      </c>
      <c r="H251" s="146"/>
      <c r="I251" s="147">
        <f>ROUND(H251*(1+BDI),2)</f>
        <v>0</v>
      </c>
      <c r="J251" s="147">
        <f t="shared" si="16"/>
        <v>0</v>
      </c>
    </row>
    <row r="252" spans="2:12" s="129" customFormat="1" ht="18" customHeight="1">
      <c r="B252" s="140" t="s">
        <v>586</v>
      </c>
      <c r="C252" s="142" t="s">
        <v>170</v>
      </c>
      <c r="D252" s="142" t="s">
        <v>280</v>
      </c>
      <c r="E252" s="144" t="s">
        <v>279</v>
      </c>
      <c r="F252" s="145" t="s">
        <v>43</v>
      </c>
      <c r="G252" s="146">
        <v>40</v>
      </c>
      <c r="H252" s="146"/>
      <c r="I252" s="147">
        <f>ROUND(H252*(1+BDI),2)</f>
        <v>0</v>
      </c>
      <c r="J252" s="147">
        <f t="shared" si="16"/>
        <v>0</v>
      </c>
    </row>
    <row r="253" spans="2:12" s="129" customFormat="1" ht="18" customHeight="1">
      <c r="B253" s="140" t="s">
        <v>587</v>
      </c>
      <c r="C253" s="142" t="s">
        <v>170</v>
      </c>
      <c r="D253" s="142" t="s">
        <v>539</v>
      </c>
      <c r="E253" s="144" t="s">
        <v>876</v>
      </c>
      <c r="F253" s="145" t="s">
        <v>251</v>
      </c>
      <c r="G253" s="146">
        <v>14</v>
      </c>
      <c r="H253" s="146"/>
      <c r="I253" s="147">
        <f>ROUND(H253*(1+BDI),2)</f>
        <v>0</v>
      </c>
      <c r="J253" s="147">
        <f t="shared" si="16"/>
        <v>0</v>
      </c>
    </row>
    <row r="254" spans="2:12" s="129" customFormat="1" ht="18" customHeight="1">
      <c r="B254" s="72"/>
      <c r="C254" s="72"/>
      <c r="D254" s="72"/>
      <c r="E254" s="73" t="s">
        <v>538</v>
      </c>
      <c r="F254" s="73" t="s">
        <v>45</v>
      </c>
      <c r="G254" s="74"/>
      <c r="H254" s="75"/>
      <c r="I254" s="76"/>
      <c r="J254" s="76">
        <f>SUM(J234:J253)</f>
        <v>0</v>
      </c>
      <c r="L254" s="209"/>
    </row>
    <row r="255" spans="2:12" s="129" customFormat="1" ht="6" customHeight="1">
      <c r="B255" s="130"/>
      <c r="C255" s="130"/>
      <c r="D255" s="130"/>
      <c r="E255" s="131"/>
      <c r="F255" s="131"/>
      <c r="G255" s="132"/>
      <c r="H255" s="133"/>
      <c r="I255" s="134"/>
      <c r="J255" s="134"/>
    </row>
    <row r="256" spans="2:12" s="129" customFormat="1" ht="18" customHeight="1">
      <c r="B256" s="72" t="s">
        <v>588</v>
      </c>
      <c r="C256" s="72"/>
      <c r="D256" s="72"/>
      <c r="E256" s="73" t="s">
        <v>454</v>
      </c>
      <c r="F256" s="73" t="s">
        <v>45</v>
      </c>
      <c r="G256" s="74"/>
      <c r="H256" s="75"/>
      <c r="I256" s="76"/>
      <c r="J256" s="76"/>
    </row>
    <row r="257" spans="2:12" s="129" customFormat="1" ht="18" customHeight="1">
      <c r="B257" s="140" t="s">
        <v>589</v>
      </c>
      <c r="C257" s="142" t="s">
        <v>71</v>
      </c>
      <c r="D257" s="143" t="s">
        <v>455</v>
      </c>
      <c r="E257" s="144" t="s">
        <v>456</v>
      </c>
      <c r="F257" s="145" t="s">
        <v>43</v>
      </c>
      <c r="G257" s="146">
        <v>5</v>
      </c>
      <c r="H257" s="146"/>
      <c r="I257" s="147">
        <f>ROUND(H257*(1+BDI),2)</f>
        <v>0</v>
      </c>
      <c r="J257" s="147">
        <f t="shared" ref="J257:J269" si="17">ROUND(G257*I257,2)</f>
        <v>0</v>
      </c>
    </row>
    <row r="258" spans="2:12" s="129" customFormat="1" ht="18" customHeight="1">
      <c r="B258" s="140" t="s">
        <v>590</v>
      </c>
      <c r="C258" s="142" t="s">
        <v>71</v>
      </c>
      <c r="D258" s="143" t="s">
        <v>457</v>
      </c>
      <c r="E258" s="148" t="s">
        <v>458</v>
      </c>
      <c r="F258" s="140" t="s">
        <v>43</v>
      </c>
      <c r="G258" s="146">
        <v>3</v>
      </c>
      <c r="H258" s="146"/>
      <c r="I258" s="147">
        <f>ROUND(H258*(1+BDI),2)</f>
        <v>0</v>
      </c>
      <c r="J258" s="147">
        <f t="shared" si="17"/>
        <v>0</v>
      </c>
    </row>
    <row r="259" spans="2:12" s="129" customFormat="1" ht="18" customHeight="1">
      <c r="B259" s="140" t="s">
        <v>591</v>
      </c>
      <c r="C259" s="142" t="s">
        <v>71</v>
      </c>
      <c r="D259" s="143" t="s">
        <v>459</v>
      </c>
      <c r="E259" s="148" t="s">
        <v>460</v>
      </c>
      <c r="F259" s="140" t="s">
        <v>43</v>
      </c>
      <c r="G259" s="146">
        <f>3.5+5.5+8.1+3</f>
        <v>20.100000000000001</v>
      </c>
      <c r="H259" s="146"/>
      <c r="I259" s="147">
        <f>ROUND(H259*(1+BDI),2)</f>
        <v>0</v>
      </c>
      <c r="J259" s="147">
        <f t="shared" si="17"/>
        <v>0</v>
      </c>
    </row>
    <row r="260" spans="2:12" s="129" customFormat="1" ht="18" customHeight="1">
      <c r="B260" s="140" t="s">
        <v>592</v>
      </c>
      <c r="C260" s="142" t="s">
        <v>71</v>
      </c>
      <c r="D260" s="143" t="s">
        <v>461</v>
      </c>
      <c r="E260" s="148" t="s">
        <v>462</v>
      </c>
      <c r="F260" s="140" t="s">
        <v>72</v>
      </c>
      <c r="G260" s="146">
        <v>3</v>
      </c>
      <c r="H260" s="146"/>
      <c r="I260" s="147">
        <f>ROUND(H260*(1+BDI),2)</f>
        <v>0</v>
      </c>
      <c r="J260" s="147">
        <f t="shared" si="17"/>
        <v>0</v>
      </c>
    </row>
    <row r="261" spans="2:12" s="129" customFormat="1" ht="18" customHeight="1">
      <c r="B261" s="140" t="s">
        <v>593</v>
      </c>
      <c r="C261" s="142" t="s">
        <v>71</v>
      </c>
      <c r="D261" s="143" t="s">
        <v>463</v>
      </c>
      <c r="E261" s="148" t="s">
        <v>464</v>
      </c>
      <c r="F261" s="140" t="s">
        <v>72</v>
      </c>
      <c r="G261" s="146">
        <v>3</v>
      </c>
      <c r="H261" s="146"/>
      <c r="I261" s="147">
        <f>ROUND(H261*(1+BDI),2)</f>
        <v>0</v>
      </c>
      <c r="J261" s="147">
        <f t="shared" si="17"/>
        <v>0</v>
      </c>
    </row>
    <row r="262" spans="2:12" s="129" customFormat="1" ht="18" customHeight="1">
      <c r="B262" s="140" t="s">
        <v>594</v>
      </c>
      <c r="C262" s="142" t="s">
        <v>71</v>
      </c>
      <c r="D262" s="143" t="s">
        <v>465</v>
      </c>
      <c r="E262" s="148" t="s">
        <v>466</v>
      </c>
      <c r="F262" s="140" t="s">
        <v>72</v>
      </c>
      <c r="G262" s="146">
        <v>5</v>
      </c>
      <c r="H262" s="146"/>
      <c r="I262" s="147">
        <f>ROUND(H262*(1+BDI),2)</f>
        <v>0</v>
      </c>
      <c r="J262" s="147">
        <f t="shared" si="17"/>
        <v>0</v>
      </c>
    </row>
    <row r="263" spans="2:12" s="129" customFormat="1" ht="18" customHeight="1">
      <c r="B263" s="140" t="s">
        <v>595</v>
      </c>
      <c r="C263" s="142" t="s">
        <v>71</v>
      </c>
      <c r="D263" s="143" t="s">
        <v>467</v>
      </c>
      <c r="E263" s="148" t="s">
        <v>468</v>
      </c>
      <c r="F263" s="140" t="s">
        <v>72</v>
      </c>
      <c r="G263" s="146">
        <v>1</v>
      </c>
      <c r="H263" s="146"/>
      <c r="I263" s="147">
        <f>ROUND(H263*(1+BDI),2)</f>
        <v>0</v>
      </c>
      <c r="J263" s="147">
        <f t="shared" si="17"/>
        <v>0</v>
      </c>
    </row>
    <row r="264" spans="2:12" s="129" customFormat="1" ht="18" customHeight="1">
      <c r="B264" s="140" t="s">
        <v>596</v>
      </c>
      <c r="C264" s="142" t="s">
        <v>70</v>
      </c>
      <c r="D264" s="143" t="s">
        <v>469</v>
      </c>
      <c r="E264" s="148" t="s">
        <v>470</v>
      </c>
      <c r="F264" s="140" t="s">
        <v>85</v>
      </c>
      <c r="G264" s="146">
        <v>1</v>
      </c>
      <c r="H264" s="146"/>
      <c r="I264" s="147">
        <f>ROUND(H264*(1+BDI),2)</f>
        <v>0</v>
      </c>
      <c r="J264" s="147">
        <f t="shared" si="17"/>
        <v>0</v>
      </c>
    </row>
    <row r="265" spans="2:12" s="129" customFormat="1" ht="18" customHeight="1">
      <c r="B265" s="140" t="s">
        <v>597</v>
      </c>
      <c r="C265" s="142" t="s">
        <v>71</v>
      </c>
      <c r="D265" s="143" t="s">
        <v>471</v>
      </c>
      <c r="E265" s="148" t="s">
        <v>472</v>
      </c>
      <c r="F265" s="140" t="s">
        <v>72</v>
      </c>
      <c r="G265" s="146">
        <v>2</v>
      </c>
      <c r="H265" s="146"/>
      <c r="I265" s="147">
        <f>ROUND(H265*(1+BDI),2)</f>
        <v>0</v>
      </c>
      <c r="J265" s="147">
        <f t="shared" si="17"/>
        <v>0</v>
      </c>
    </row>
    <row r="266" spans="2:12" s="129" customFormat="1" ht="18" customHeight="1">
      <c r="B266" s="140" t="s">
        <v>598</v>
      </c>
      <c r="C266" s="142" t="s">
        <v>71</v>
      </c>
      <c r="D266" s="143" t="s">
        <v>473</v>
      </c>
      <c r="E266" s="148" t="s">
        <v>474</v>
      </c>
      <c r="F266" s="140" t="s">
        <v>72</v>
      </c>
      <c r="G266" s="146">
        <v>2</v>
      </c>
      <c r="H266" s="146"/>
      <c r="I266" s="147">
        <f>ROUND(H266*(1+BDI),2)</f>
        <v>0</v>
      </c>
      <c r="J266" s="147">
        <f t="shared" si="17"/>
        <v>0</v>
      </c>
    </row>
    <row r="267" spans="2:12" s="129" customFormat="1" ht="18" customHeight="1">
      <c r="B267" s="140" t="s">
        <v>599</v>
      </c>
      <c r="C267" s="142" t="s">
        <v>71</v>
      </c>
      <c r="D267" s="143" t="s">
        <v>475</v>
      </c>
      <c r="E267" s="148" t="s">
        <v>476</v>
      </c>
      <c r="F267" s="140" t="s">
        <v>72</v>
      </c>
      <c r="G267" s="146">
        <v>1</v>
      </c>
      <c r="H267" s="146"/>
      <c r="I267" s="147">
        <f>ROUND(H267*(1+BDI),2)</f>
        <v>0</v>
      </c>
      <c r="J267" s="147">
        <f t="shared" si="17"/>
        <v>0</v>
      </c>
    </row>
    <row r="268" spans="2:12" s="129" customFormat="1" ht="18" customHeight="1">
      <c r="B268" s="140" t="s">
        <v>600</v>
      </c>
      <c r="C268" s="142" t="s">
        <v>71</v>
      </c>
      <c r="D268" s="143" t="s">
        <v>477</v>
      </c>
      <c r="E268" s="148" t="s">
        <v>534</v>
      </c>
      <c r="F268" s="140" t="s">
        <v>44</v>
      </c>
      <c r="G268" s="146">
        <f>0.6*0.6*0.1</f>
        <v>3.5999999999999997E-2</v>
      </c>
      <c r="H268" s="146"/>
      <c r="I268" s="147">
        <f>ROUND(H268*(1+BDI),2)</f>
        <v>0</v>
      </c>
      <c r="J268" s="147">
        <f t="shared" si="17"/>
        <v>0</v>
      </c>
    </row>
    <row r="269" spans="2:12" s="129" customFormat="1" ht="18" customHeight="1">
      <c r="B269" s="140" t="s">
        <v>601</v>
      </c>
      <c r="C269" s="142" t="s">
        <v>71</v>
      </c>
      <c r="D269" s="143" t="s">
        <v>478</v>
      </c>
      <c r="E269" s="148" t="s">
        <v>479</v>
      </c>
      <c r="F269" s="140" t="s">
        <v>72</v>
      </c>
      <c r="G269" s="146">
        <v>1</v>
      </c>
      <c r="H269" s="146"/>
      <c r="I269" s="147">
        <f>ROUND(H269*(1+BDI),2)</f>
        <v>0</v>
      </c>
      <c r="J269" s="147">
        <f t="shared" si="17"/>
        <v>0</v>
      </c>
    </row>
    <row r="270" spans="2:12" s="129" customFormat="1" ht="18" customHeight="1">
      <c r="B270" s="72"/>
      <c r="C270" s="72"/>
      <c r="D270" s="72"/>
      <c r="E270" s="73" t="s">
        <v>882</v>
      </c>
      <c r="F270" s="73" t="s">
        <v>45</v>
      </c>
      <c r="G270" s="74"/>
      <c r="H270" s="75"/>
      <c r="I270" s="76"/>
      <c r="J270" s="76">
        <f>SUM(J257:J269)</f>
        <v>0</v>
      </c>
      <c r="L270" s="209"/>
    </row>
    <row r="271" spans="2:12" s="129" customFormat="1" ht="9.75" customHeight="1">
      <c r="B271" s="130"/>
      <c r="C271" s="130"/>
      <c r="D271" s="130"/>
      <c r="E271" s="131"/>
      <c r="F271" s="131"/>
      <c r="G271" s="132"/>
      <c r="H271" s="133"/>
      <c r="I271" s="134"/>
      <c r="J271" s="134"/>
    </row>
    <row r="272" spans="2:12" s="129" customFormat="1" ht="16.5" customHeight="1">
      <c r="B272" s="72" t="s">
        <v>864</v>
      </c>
      <c r="C272" s="72"/>
      <c r="D272" s="72"/>
      <c r="E272" s="73" t="s">
        <v>861</v>
      </c>
      <c r="F272" s="73" t="s">
        <v>45</v>
      </c>
      <c r="G272" s="74"/>
      <c r="H272" s="75"/>
      <c r="I272" s="76"/>
      <c r="J272" s="76"/>
    </row>
    <row r="273" spans="2:12" s="129" customFormat="1" ht="18">
      <c r="B273" s="140" t="s">
        <v>865</v>
      </c>
      <c r="C273" s="142" t="s">
        <v>71</v>
      </c>
      <c r="D273" s="143">
        <v>89402</v>
      </c>
      <c r="E273" s="148" t="s">
        <v>862</v>
      </c>
      <c r="F273" s="140" t="s">
        <v>43</v>
      </c>
      <c r="G273" s="146">
        <v>30</v>
      </c>
      <c r="H273" s="146"/>
      <c r="I273" s="147">
        <f>ROUND(H273*(1+BDI),2)</f>
        <v>0</v>
      </c>
      <c r="J273" s="147">
        <f t="shared" ref="J273:J274" si="18">ROUND(G273*I273,2)</f>
        <v>0</v>
      </c>
    </row>
    <row r="274" spans="2:12" s="129" customFormat="1" ht="18">
      <c r="B274" s="140" t="s">
        <v>866</v>
      </c>
      <c r="C274" s="142" t="s">
        <v>71</v>
      </c>
      <c r="D274" s="143">
        <v>89481</v>
      </c>
      <c r="E274" s="148" t="s">
        <v>863</v>
      </c>
      <c r="F274" s="140" t="s">
        <v>72</v>
      </c>
      <c r="G274" s="146">
        <v>10</v>
      </c>
      <c r="H274" s="146"/>
      <c r="I274" s="147">
        <f>ROUND(H274*(1+BDI),2)</f>
        <v>0</v>
      </c>
      <c r="J274" s="147">
        <f t="shared" si="18"/>
        <v>0</v>
      </c>
    </row>
    <row r="275" spans="2:12" s="129" customFormat="1" ht="18.75" customHeight="1">
      <c r="B275" s="72"/>
      <c r="C275" s="72"/>
      <c r="D275" s="72"/>
      <c r="E275" s="73" t="s">
        <v>867</v>
      </c>
      <c r="F275" s="73" t="s">
        <v>45</v>
      </c>
      <c r="G275" s="74"/>
      <c r="H275" s="75"/>
      <c r="I275" s="76"/>
      <c r="J275" s="76">
        <f>SUM(J273:J274)</f>
        <v>0</v>
      </c>
      <c r="L275" s="209"/>
    </row>
    <row r="276" spans="2:12" s="129" customFormat="1" ht="7.5" customHeight="1">
      <c r="B276" s="130"/>
      <c r="C276" s="130"/>
      <c r="D276" s="130"/>
      <c r="E276" s="131"/>
      <c r="F276" s="131"/>
      <c r="G276" s="132"/>
      <c r="H276" s="133"/>
      <c r="I276" s="134"/>
      <c r="J276" s="134"/>
    </row>
    <row r="277" spans="2:12" s="129" customFormat="1" ht="18" customHeight="1">
      <c r="B277" s="335" t="s">
        <v>382</v>
      </c>
      <c r="C277" s="335"/>
      <c r="D277" s="335"/>
      <c r="E277" s="335"/>
      <c r="F277" s="335"/>
      <c r="G277" s="335"/>
      <c r="H277" s="335"/>
      <c r="I277" s="335"/>
      <c r="J277" s="169">
        <f>J270+J254+J231+J222+J210+J197+J193+J185+J181+J173+J201+J275</f>
        <v>0</v>
      </c>
    </row>
    <row r="278" spans="2:12" s="129" customFormat="1" ht="7.5" customHeight="1">
      <c r="B278" s="130"/>
      <c r="C278" s="130"/>
      <c r="D278" s="130"/>
      <c r="E278" s="131"/>
      <c r="F278" s="131"/>
      <c r="G278" s="132"/>
      <c r="H278" s="133"/>
      <c r="I278" s="134"/>
      <c r="J278" s="134"/>
    </row>
    <row r="279" spans="2:12" s="129" customFormat="1" ht="18" customHeight="1">
      <c r="B279" s="314" t="s">
        <v>379</v>
      </c>
      <c r="C279" s="315"/>
      <c r="D279" s="315"/>
      <c r="E279" s="315"/>
      <c r="F279" s="315"/>
      <c r="G279" s="315"/>
      <c r="H279" s="315"/>
      <c r="I279" s="315"/>
      <c r="J279" s="316"/>
    </row>
    <row r="280" spans="2:12" s="129" customFormat="1" ht="18" customHeight="1">
      <c r="B280" s="72" t="s">
        <v>384</v>
      </c>
      <c r="C280" s="72"/>
      <c r="D280" s="72"/>
      <c r="E280" s="73" t="s">
        <v>89</v>
      </c>
      <c r="F280" s="73" t="s">
        <v>45</v>
      </c>
      <c r="G280" s="74"/>
      <c r="H280" s="75"/>
      <c r="I280" s="76"/>
      <c r="J280" s="76"/>
    </row>
    <row r="281" spans="2:12" s="129" customFormat="1" ht="18" customHeight="1">
      <c r="B281" s="140" t="s">
        <v>385</v>
      </c>
      <c r="C281" s="140" t="s">
        <v>71</v>
      </c>
      <c r="D281" s="140">
        <v>97633</v>
      </c>
      <c r="E281" s="148" t="s">
        <v>353</v>
      </c>
      <c r="F281" s="140" t="s">
        <v>42</v>
      </c>
      <c r="G281" s="161">
        <f>'PLANILHA CÁLCULO'!F9</f>
        <v>48.113699999999994</v>
      </c>
      <c r="H281" s="146"/>
      <c r="I281" s="147">
        <f>ROUND(H281*(1+BDI),2)</f>
        <v>0</v>
      </c>
      <c r="J281" s="147">
        <f t="shared" ref="J281:J284" si="19">ROUND(G281*I281,2)</f>
        <v>0</v>
      </c>
    </row>
    <row r="282" spans="2:12" s="129" customFormat="1" ht="18" customHeight="1">
      <c r="B282" s="140" t="s">
        <v>572</v>
      </c>
      <c r="C282" s="140" t="s">
        <v>71</v>
      </c>
      <c r="D282" s="140">
        <v>97632</v>
      </c>
      <c r="E282" s="148" t="s">
        <v>354</v>
      </c>
      <c r="F282" s="140" t="s">
        <v>43</v>
      </c>
      <c r="G282" s="161">
        <f>(4.37+4.36+2.62+0.98+1.64)*2</f>
        <v>27.940000000000005</v>
      </c>
      <c r="H282" s="146"/>
      <c r="I282" s="147">
        <f>ROUND(H282*(1+BDI),2)</f>
        <v>0</v>
      </c>
      <c r="J282" s="147">
        <f t="shared" si="19"/>
        <v>0</v>
      </c>
    </row>
    <row r="283" spans="2:12" s="129" customFormat="1" ht="18" customHeight="1">
      <c r="B283" s="140" t="s">
        <v>573</v>
      </c>
      <c r="C283" s="142" t="s">
        <v>71</v>
      </c>
      <c r="D283" s="142">
        <v>97660</v>
      </c>
      <c r="E283" s="148" t="s">
        <v>305</v>
      </c>
      <c r="F283" s="140" t="s">
        <v>72</v>
      </c>
      <c r="G283" s="161">
        <v>3</v>
      </c>
      <c r="H283" s="146"/>
      <c r="I283" s="147">
        <f>ROUND(H283*(1+BDI),2)</f>
        <v>0</v>
      </c>
      <c r="J283" s="147">
        <f t="shared" si="19"/>
        <v>0</v>
      </c>
    </row>
    <row r="284" spans="2:12" s="129" customFormat="1" ht="18" customHeight="1">
      <c r="B284" s="140" t="s">
        <v>574</v>
      </c>
      <c r="C284" s="142" t="s">
        <v>71</v>
      </c>
      <c r="D284" s="142">
        <v>97665</v>
      </c>
      <c r="E284" s="148" t="s">
        <v>306</v>
      </c>
      <c r="F284" s="140" t="s">
        <v>72</v>
      </c>
      <c r="G284" s="161">
        <v>5</v>
      </c>
      <c r="H284" s="146"/>
      <c r="I284" s="147">
        <f>ROUND(H284*(1+BDI),2)</f>
        <v>0</v>
      </c>
      <c r="J284" s="147">
        <f t="shared" si="19"/>
        <v>0</v>
      </c>
    </row>
    <row r="285" spans="2:12" s="129" customFormat="1" ht="18" customHeight="1">
      <c r="B285" s="140" t="s">
        <v>575</v>
      </c>
      <c r="C285" s="142" t="s">
        <v>71</v>
      </c>
      <c r="D285" s="142">
        <v>97644</v>
      </c>
      <c r="E285" s="148" t="s">
        <v>108</v>
      </c>
      <c r="F285" s="140" t="s">
        <v>42</v>
      </c>
      <c r="G285" s="161">
        <f>1*2.1+0.9*2.1</f>
        <v>3.99</v>
      </c>
      <c r="H285" s="146"/>
      <c r="I285" s="147">
        <f>ROUND(H285*(1+BDI),2)</f>
        <v>0</v>
      </c>
      <c r="J285" s="147">
        <f>ROUND(G285*I285,2)</f>
        <v>0</v>
      </c>
    </row>
    <row r="286" spans="2:12" s="129" customFormat="1" ht="18" customHeight="1">
      <c r="B286" s="140" t="s">
        <v>576</v>
      </c>
      <c r="C286" s="142" t="s">
        <v>71</v>
      </c>
      <c r="D286" s="142">
        <v>97622</v>
      </c>
      <c r="E286" s="148" t="s">
        <v>386</v>
      </c>
      <c r="F286" s="140" t="s">
        <v>44</v>
      </c>
      <c r="G286" s="161">
        <f>((2.32+0.79)*3+(0.69*0.9))*0.15</f>
        <v>1.49265</v>
      </c>
      <c r="H286" s="146"/>
      <c r="I286" s="147">
        <f>ROUND(H286*(1+BDI),2)</f>
        <v>0</v>
      </c>
      <c r="J286" s="147">
        <f>ROUND(G286*I286,2)</f>
        <v>0</v>
      </c>
    </row>
    <row r="287" spans="2:12" s="129" customFormat="1" ht="18" customHeight="1">
      <c r="B287" s="72"/>
      <c r="C287" s="72"/>
      <c r="D287" s="72"/>
      <c r="E287" s="73" t="s">
        <v>577</v>
      </c>
      <c r="F287" s="73" t="s">
        <v>45</v>
      </c>
      <c r="G287" s="74"/>
      <c r="H287" s="75"/>
      <c r="I287" s="76"/>
      <c r="J287" s="76">
        <f>SUM(J281:J286)</f>
        <v>0</v>
      </c>
      <c r="L287" s="209"/>
    </row>
    <row r="288" spans="2:12" s="129" customFormat="1" ht="8.25" customHeight="1">
      <c r="B288" s="130"/>
      <c r="C288" s="130"/>
      <c r="D288" s="130"/>
      <c r="E288" s="131"/>
      <c r="F288" s="131"/>
      <c r="G288" s="132"/>
      <c r="H288" s="133"/>
      <c r="I288" s="134"/>
      <c r="J288" s="134"/>
    </row>
    <row r="289" spans="2:14" s="129" customFormat="1" ht="18" customHeight="1">
      <c r="B289" s="72" t="s">
        <v>602</v>
      </c>
      <c r="C289" s="72"/>
      <c r="D289" s="72"/>
      <c r="E289" s="73" t="s">
        <v>123</v>
      </c>
      <c r="F289" s="73" t="s">
        <v>45</v>
      </c>
      <c r="G289" s="74"/>
      <c r="H289" s="75"/>
      <c r="I289" s="76"/>
      <c r="J289" s="76"/>
    </row>
    <row r="290" spans="2:14" s="129" customFormat="1" ht="18" customHeight="1">
      <c r="B290" s="140" t="s">
        <v>639</v>
      </c>
      <c r="C290" s="140" t="s">
        <v>170</v>
      </c>
      <c r="D290" s="140" t="s">
        <v>171</v>
      </c>
      <c r="E290" s="141" t="s">
        <v>356</v>
      </c>
      <c r="F290" s="140" t="s">
        <v>88</v>
      </c>
      <c r="G290" s="146">
        <v>18</v>
      </c>
      <c r="H290" s="146"/>
      <c r="I290" s="147">
        <f>ROUND(H290*(1+BDI),2)</f>
        <v>0</v>
      </c>
      <c r="J290" s="147">
        <f>ROUND(G290*I290,2)</f>
        <v>0</v>
      </c>
    </row>
    <row r="291" spans="2:14" s="129" customFormat="1" ht="18" customHeight="1">
      <c r="B291" s="140" t="s">
        <v>640</v>
      </c>
      <c r="C291" s="140" t="s">
        <v>71</v>
      </c>
      <c r="D291" s="140">
        <v>104598</v>
      </c>
      <c r="E291" s="141" t="s">
        <v>390</v>
      </c>
      <c r="F291" s="140" t="s">
        <v>42</v>
      </c>
      <c r="G291" s="146">
        <f>'PLANILHA CÁLCULO'!U10</f>
        <v>8.2823999999999991</v>
      </c>
      <c r="H291" s="146"/>
      <c r="I291" s="147">
        <f>ROUND(H291*(1+BDI),2)</f>
        <v>0</v>
      </c>
      <c r="J291" s="147">
        <f>ROUND(G291*I291,2)</f>
        <v>0</v>
      </c>
    </row>
    <row r="292" spans="2:14" s="129" customFormat="1" ht="18" customHeight="1">
      <c r="B292" s="140" t="s">
        <v>641</v>
      </c>
      <c r="C292" s="142" t="s">
        <v>71</v>
      </c>
      <c r="D292" s="143">
        <v>88650</v>
      </c>
      <c r="E292" s="144" t="s">
        <v>358</v>
      </c>
      <c r="F292" s="145" t="s">
        <v>43</v>
      </c>
      <c r="G292" s="146">
        <f>'PLANILHA CÁLCULO'!Z10</f>
        <v>14.68</v>
      </c>
      <c r="H292" s="146"/>
      <c r="I292" s="147">
        <f>ROUND(H292*(1+BDI),2)</f>
        <v>0</v>
      </c>
      <c r="J292" s="147">
        <f t="shared" ref="J292" si="20">ROUND(G292*I292,2)</f>
        <v>0</v>
      </c>
    </row>
    <row r="293" spans="2:14" s="129" customFormat="1" ht="18" customHeight="1">
      <c r="B293" s="72"/>
      <c r="C293" s="72"/>
      <c r="D293" s="72"/>
      <c r="E293" s="73" t="s">
        <v>883</v>
      </c>
      <c r="F293" s="73" t="s">
        <v>45</v>
      </c>
      <c r="G293" s="74"/>
      <c r="H293" s="75"/>
      <c r="I293" s="76"/>
      <c r="J293" s="76">
        <f>SUM(J290:J292)</f>
        <v>0</v>
      </c>
      <c r="M293" s="208"/>
    </row>
    <row r="294" spans="2:14" s="129" customFormat="1" ht="6" customHeight="1">
      <c r="B294" s="130"/>
      <c r="C294" s="130"/>
      <c r="D294" s="130"/>
      <c r="E294" s="131"/>
      <c r="F294" s="131"/>
      <c r="G294" s="132"/>
      <c r="H294" s="133"/>
      <c r="I294" s="134"/>
      <c r="J294" s="134"/>
    </row>
    <row r="295" spans="2:14" s="129" customFormat="1" ht="18" customHeight="1">
      <c r="B295" s="72" t="s">
        <v>603</v>
      </c>
      <c r="C295" s="72"/>
      <c r="D295" s="72"/>
      <c r="E295" s="73" t="s">
        <v>391</v>
      </c>
      <c r="F295" s="73" t="s">
        <v>45</v>
      </c>
      <c r="G295" s="74"/>
      <c r="H295" s="75"/>
      <c r="I295" s="76"/>
      <c r="J295" s="76"/>
    </row>
    <row r="296" spans="2:14" s="129" customFormat="1" ht="18" customHeight="1">
      <c r="B296" s="140" t="s">
        <v>637</v>
      </c>
      <c r="C296" s="140" t="s">
        <v>71</v>
      </c>
      <c r="D296" s="140">
        <v>96361</v>
      </c>
      <c r="E296" s="141" t="s">
        <v>392</v>
      </c>
      <c r="F296" s="140" t="s">
        <v>42</v>
      </c>
      <c r="G296" s="146">
        <f>4.37*2.85</f>
        <v>12.454500000000001</v>
      </c>
      <c r="H296" s="146"/>
      <c r="I296" s="147">
        <f>ROUND(H296*(1+BDI),2)</f>
        <v>0</v>
      </c>
      <c r="J296" s="147">
        <f>ROUND(G296*I296,2)</f>
        <v>0</v>
      </c>
    </row>
    <row r="297" spans="2:14" s="129" customFormat="1" ht="18" customHeight="1">
      <c r="B297" s="140" t="s">
        <v>638</v>
      </c>
      <c r="C297" s="142" t="s">
        <v>71</v>
      </c>
      <c r="D297" s="143">
        <v>103324</v>
      </c>
      <c r="E297" s="144" t="s">
        <v>415</v>
      </c>
      <c r="F297" s="145" t="s">
        <v>42</v>
      </c>
      <c r="G297" s="146">
        <f>(1*2.1)*2</f>
        <v>4.2</v>
      </c>
      <c r="H297" s="146"/>
      <c r="I297" s="147">
        <f>ROUND(H297*(1+BDI),2)</f>
        <v>0</v>
      </c>
      <c r="J297" s="147">
        <f t="shared" ref="J297" si="21">ROUND(G297*I297,2)</f>
        <v>0</v>
      </c>
    </row>
    <row r="298" spans="2:14" s="129" customFormat="1" ht="18" customHeight="1">
      <c r="B298" s="72"/>
      <c r="C298" s="72"/>
      <c r="D298" s="72"/>
      <c r="E298" s="73" t="s">
        <v>884</v>
      </c>
      <c r="F298" s="73" t="s">
        <v>45</v>
      </c>
      <c r="G298" s="74"/>
      <c r="H298" s="75"/>
      <c r="I298" s="76"/>
      <c r="J298" s="76">
        <f>SUM(J296:J297)</f>
        <v>0</v>
      </c>
      <c r="M298" s="209"/>
    </row>
    <row r="299" spans="2:14" s="129" customFormat="1" ht="7.5" customHeight="1">
      <c r="B299" s="130"/>
      <c r="C299" s="130"/>
      <c r="D299" s="130"/>
      <c r="E299" s="131"/>
      <c r="F299" s="131"/>
      <c r="G299" s="132"/>
      <c r="H299" s="133"/>
      <c r="I299" s="134"/>
      <c r="J299" s="134"/>
    </row>
    <row r="300" spans="2:14" s="129" customFormat="1" ht="18" customHeight="1">
      <c r="B300" s="72" t="s">
        <v>604</v>
      </c>
      <c r="C300" s="72"/>
      <c r="D300" s="72"/>
      <c r="E300" s="73" t="s">
        <v>411</v>
      </c>
      <c r="F300" s="73" t="s">
        <v>45</v>
      </c>
      <c r="G300" s="74"/>
      <c r="H300" s="75"/>
      <c r="I300" s="76"/>
      <c r="J300" s="76"/>
    </row>
    <row r="301" spans="2:14" s="129" customFormat="1" ht="18" customHeight="1">
      <c r="B301" s="140" t="s">
        <v>634</v>
      </c>
      <c r="C301" s="140" t="s">
        <v>170</v>
      </c>
      <c r="D301" s="140" t="s">
        <v>1132</v>
      </c>
      <c r="E301" s="141" t="s">
        <v>414</v>
      </c>
      <c r="F301" s="140" t="s">
        <v>251</v>
      </c>
      <c r="G301" s="146">
        <v>30</v>
      </c>
      <c r="H301" s="146"/>
      <c r="I301" s="146">
        <f>ROUND(H301*(1+BDI),2)</f>
        <v>0</v>
      </c>
      <c r="J301" s="146">
        <f>ROUND(G301*I301,2)</f>
        <v>0</v>
      </c>
    </row>
    <row r="302" spans="2:14" s="129" customFormat="1" ht="18" customHeight="1">
      <c r="B302" s="140" t="s">
        <v>635</v>
      </c>
      <c r="C302" s="142" t="s">
        <v>71</v>
      </c>
      <c r="D302" s="143">
        <v>87879</v>
      </c>
      <c r="E302" s="148" t="s">
        <v>413</v>
      </c>
      <c r="F302" s="140" t="s">
        <v>42</v>
      </c>
      <c r="G302" s="146">
        <f>G297*2</f>
        <v>8.4</v>
      </c>
      <c r="H302" s="146"/>
      <c r="I302" s="147">
        <f>ROUND(H302*(1+BDI),2)</f>
        <v>0</v>
      </c>
      <c r="J302" s="147">
        <f>ROUND(G302*I302,2)</f>
        <v>0</v>
      </c>
    </row>
    <row r="303" spans="2:14" s="129" customFormat="1" ht="18" customHeight="1">
      <c r="B303" s="140" t="s">
        <v>636</v>
      </c>
      <c r="C303" s="140" t="s">
        <v>71</v>
      </c>
      <c r="D303" s="140">
        <v>87529</v>
      </c>
      <c r="E303" s="141" t="s">
        <v>417</v>
      </c>
      <c r="F303" s="140" t="s">
        <v>42</v>
      </c>
      <c r="G303" s="146">
        <f>G302</f>
        <v>8.4</v>
      </c>
      <c r="H303" s="146"/>
      <c r="I303" s="147">
        <f>ROUND(H303*(1+BDI),2)</f>
        <v>0</v>
      </c>
      <c r="J303" s="147">
        <f>ROUND(G303*I303,2)</f>
        <v>0</v>
      </c>
    </row>
    <row r="304" spans="2:14" s="129" customFormat="1" ht="18" customHeight="1">
      <c r="B304" s="72"/>
      <c r="C304" s="72"/>
      <c r="D304" s="72"/>
      <c r="E304" s="73" t="s">
        <v>885</v>
      </c>
      <c r="F304" s="73" t="s">
        <v>45</v>
      </c>
      <c r="G304" s="74"/>
      <c r="H304" s="75"/>
      <c r="I304" s="76"/>
      <c r="J304" s="76">
        <f>SUM(J301:J303)</f>
        <v>0</v>
      </c>
      <c r="N304" s="209"/>
    </row>
    <row r="305" spans="2:13" s="129" customFormat="1" ht="7.5" customHeight="1">
      <c r="B305" s="130"/>
      <c r="C305" s="130"/>
      <c r="D305" s="130"/>
      <c r="E305" s="131"/>
      <c r="F305" s="131"/>
      <c r="G305" s="132"/>
      <c r="H305" s="133"/>
      <c r="I305" s="134"/>
      <c r="J305" s="134"/>
    </row>
    <row r="306" spans="2:13" s="129" customFormat="1" ht="18" customHeight="1">
      <c r="B306" s="72" t="s">
        <v>605</v>
      </c>
      <c r="C306" s="72"/>
      <c r="D306" s="72"/>
      <c r="E306" s="73" t="s">
        <v>121</v>
      </c>
      <c r="F306" s="73" t="s">
        <v>45</v>
      </c>
      <c r="G306" s="74"/>
      <c r="H306" s="75"/>
      <c r="I306" s="76"/>
      <c r="J306" s="76"/>
    </row>
    <row r="307" spans="2:13" s="129" customFormat="1" ht="18" customHeight="1">
      <c r="B307" s="140" t="s">
        <v>632</v>
      </c>
      <c r="C307" s="142" t="s">
        <v>170</v>
      </c>
      <c r="D307" s="159" t="s">
        <v>189</v>
      </c>
      <c r="E307" s="144" t="s">
        <v>404</v>
      </c>
      <c r="F307" s="145" t="s">
        <v>42</v>
      </c>
      <c r="G307" s="146">
        <f>2.95*0.5</f>
        <v>1.4750000000000001</v>
      </c>
      <c r="H307" s="146"/>
      <c r="I307" s="147">
        <f>ROUND(H307*(1+BDI),2)</f>
        <v>0</v>
      </c>
      <c r="J307" s="147">
        <f>ROUND(G307*I307,2)</f>
        <v>0</v>
      </c>
    </row>
    <row r="308" spans="2:13" s="129" customFormat="1" ht="18" customHeight="1">
      <c r="B308" s="140" t="s">
        <v>633</v>
      </c>
      <c r="C308" s="142" t="s">
        <v>71</v>
      </c>
      <c r="D308" s="143">
        <v>90825</v>
      </c>
      <c r="E308" s="144" t="s">
        <v>409</v>
      </c>
      <c r="F308" s="145" t="s">
        <v>251</v>
      </c>
      <c r="G308" s="146">
        <v>2</v>
      </c>
      <c r="H308" s="146"/>
      <c r="I308" s="147">
        <f>ROUND(H308*(1+BDI),2)</f>
        <v>0</v>
      </c>
      <c r="J308" s="147">
        <f>ROUND(G308*I308,2)</f>
        <v>0</v>
      </c>
    </row>
    <row r="309" spans="2:13" s="129" customFormat="1" ht="18" customHeight="1">
      <c r="B309" s="72"/>
      <c r="C309" s="72"/>
      <c r="D309" s="72"/>
      <c r="E309" s="73" t="s">
        <v>886</v>
      </c>
      <c r="F309" s="73" t="s">
        <v>45</v>
      </c>
      <c r="G309" s="74"/>
      <c r="H309" s="75"/>
      <c r="I309" s="76"/>
      <c r="J309" s="76">
        <f>SUM(J307:J308)</f>
        <v>0</v>
      </c>
      <c r="M309" s="209"/>
    </row>
    <row r="310" spans="2:13" s="129" customFormat="1" ht="8.25" customHeight="1">
      <c r="B310" s="130"/>
      <c r="C310" s="130"/>
      <c r="D310" s="130"/>
      <c r="E310" s="131"/>
      <c r="F310" s="131"/>
      <c r="G310" s="132"/>
      <c r="H310" s="133"/>
      <c r="I310" s="134"/>
      <c r="J310" s="134"/>
    </row>
    <row r="311" spans="2:13" s="129" customFormat="1" ht="18" customHeight="1">
      <c r="B311" s="72" t="s">
        <v>606</v>
      </c>
      <c r="C311" s="72"/>
      <c r="D311" s="72"/>
      <c r="E311" s="73" t="s">
        <v>405</v>
      </c>
      <c r="F311" s="73" t="s">
        <v>45</v>
      </c>
      <c r="G311" s="74"/>
      <c r="H311" s="75"/>
      <c r="I311" s="76"/>
      <c r="J311" s="76"/>
    </row>
    <row r="312" spans="2:13" s="129" customFormat="1" ht="18" customHeight="1">
      <c r="B312" s="154" t="s">
        <v>630</v>
      </c>
      <c r="C312" s="155" t="s">
        <v>170</v>
      </c>
      <c r="D312" s="160" t="s">
        <v>437</v>
      </c>
      <c r="E312" s="156" t="s">
        <v>406</v>
      </c>
      <c r="F312" s="157" t="s">
        <v>43</v>
      </c>
      <c r="G312" s="158">
        <v>3.07</v>
      </c>
      <c r="H312" s="158"/>
      <c r="I312" s="147">
        <f>ROUND(H312*(1+BDI),2)</f>
        <v>0</v>
      </c>
      <c r="J312" s="147">
        <f t="shared" ref="J312:J313" si="22">ROUND(G312*I312,2)</f>
        <v>0</v>
      </c>
    </row>
    <row r="313" spans="2:13" s="129" customFormat="1" ht="18" customHeight="1">
      <c r="B313" s="154" t="s">
        <v>631</v>
      </c>
      <c r="C313" s="155" t="s">
        <v>170</v>
      </c>
      <c r="D313" s="160" t="s">
        <v>437</v>
      </c>
      <c r="E313" s="156" t="s">
        <v>407</v>
      </c>
      <c r="F313" s="157" t="s">
        <v>43</v>
      </c>
      <c r="G313" s="158">
        <v>1</v>
      </c>
      <c r="H313" s="158"/>
      <c r="I313" s="147">
        <f>ROUND(H313*(1+BDI),2)</f>
        <v>0</v>
      </c>
      <c r="J313" s="147">
        <f t="shared" si="22"/>
        <v>0</v>
      </c>
    </row>
    <row r="314" spans="2:13" s="129" customFormat="1" ht="18" customHeight="1">
      <c r="B314" s="72"/>
      <c r="C314" s="72"/>
      <c r="D314" s="72"/>
      <c r="E314" s="73" t="s">
        <v>887</v>
      </c>
      <c r="F314" s="73" t="s">
        <v>45</v>
      </c>
      <c r="G314" s="74"/>
      <c r="H314" s="75"/>
      <c r="I314" s="76"/>
      <c r="J314" s="76">
        <f>SUM(J312:J313)</f>
        <v>0</v>
      </c>
    </row>
    <row r="315" spans="2:13" s="129" customFormat="1" ht="10.5" customHeight="1">
      <c r="B315" s="130"/>
      <c r="C315" s="130"/>
      <c r="D315" s="130"/>
      <c r="E315" s="131"/>
      <c r="F315" s="131"/>
      <c r="G315" s="132"/>
      <c r="H315" s="133"/>
      <c r="I315" s="134"/>
      <c r="J315" s="134"/>
    </row>
    <row r="316" spans="2:13" s="129" customFormat="1" ht="18" customHeight="1">
      <c r="B316" s="72" t="s">
        <v>607</v>
      </c>
      <c r="C316" s="72"/>
      <c r="D316" s="72"/>
      <c r="E316" s="73" t="s">
        <v>110</v>
      </c>
      <c r="F316" s="73" t="s">
        <v>45</v>
      </c>
      <c r="G316" s="74"/>
      <c r="H316" s="75"/>
      <c r="I316" s="76"/>
      <c r="J316" s="76"/>
    </row>
    <row r="317" spans="2:13" s="129" customFormat="1" ht="18" customHeight="1">
      <c r="B317" s="142" t="s">
        <v>622</v>
      </c>
      <c r="C317" s="142" t="s">
        <v>62</v>
      </c>
      <c r="D317" s="142" t="s">
        <v>84</v>
      </c>
      <c r="E317" s="192" t="s">
        <v>340</v>
      </c>
      <c r="F317" s="142" t="s">
        <v>42</v>
      </c>
      <c r="G317" s="193">
        <f>'PLANILHA CÁLCULO'!AH9</f>
        <v>114.57</v>
      </c>
      <c r="H317" s="146"/>
      <c r="I317" s="147">
        <f>ROUND(H317*(1+BDI),2)</f>
        <v>0</v>
      </c>
      <c r="J317" s="147">
        <f t="shared" ref="J317:J324" si="23">ROUND(G317*I317,2)</f>
        <v>0</v>
      </c>
    </row>
    <row r="318" spans="2:13" s="129" customFormat="1" ht="18" customHeight="1">
      <c r="B318" s="142" t="s">
        <v>623</v>
      </c>
      <c r="C318" s="142" t="s">
        <v>62</v>
      </c>
      <c r="D318" s="142" t="s">
        <v>118</v>
      </c>
      <c r="E318" s="192" t="s">
        <v>339</v>
      </c>
      <c r="F318" s="142" t="s">
        <v>42</v>
      </c>
      <c r="G318" s="193">
        <f>'PLANILHA CÁLCULO'!AD9</f>
        <v>48.113699999999994</v>
      </c>
      <c r="H318" s="146"/>
      <c r="I318" s="147">
        <f>ROUND(H318*(1+BDI),2)</f>
        <v>0</v>
      </c>
      <c r="J318" s="147">
        <f t="shared" si="23"/>
        <v>0</v>
      </c>
    </row>
    <row r="319" spans="2:13" s="129" customFormat="1" ht="18" customHeight="1">
      <c r="B319" s="142" t="s">
        <v>624</v>
      </c>
      <c r="C319" s="142" t="s">
        <v>71</v>
      </c>
      <c r="D319" s="142">
        <v>88485</v>
      </c>
      <c r="E319" s="192" t="s">
        <v>337</v>
      </c>
      <c r="F319" s="142" t="s">
        <v>42</v>
      </c>
      <c r="G319" s="193">
        <f>G317</f>
        <v>114.57</v>
      </c>
      <c r="H319" s="146"/>
      <c r="I319" s="147">
        <f>ROUND(H319*(1+BDI),2)</f>
        <v>0</v>
      </c>
      <c r="J319" s="147">
        <f t="shared" si="23"/>
        <v>0</v>
      </c>
    </row>
    <row r="320" spans="2:13" s="129" customFormat="1" ht="18" customHeight="1">
      <c r="B320" s="142" t="s">
        <v>625</v>
      </c>
      <c r="C320" s="142" t="s">
        <v>71</v>
      </c>
      <c r="D320" s="142">
        <v>88484</v>
      </c>
      <c r="E320" s="192" t="s">
        <v>338</v>
      </c>
      <c r="F320" s="142" t="s">
        <v>42</v>
      </c>
      <c r="G320" s="193">
        <f>G318</f>
        <v>48.113699999999994</v>
      </c>
      <c r="H320" s="146"/>
      <c r="I320" s="147">
        <f>ROUND(H320*(1+BDI),2)</f>
        <v>0</v>
      </c>
      <c r="J320" s="147">
        <f t="shared" si="23"/>
        <v>0</v>
      </c>
    </row>
    <row r="321" spans="2:12" s="129" customFormat="1" ht="18" customHeight="1">
      <c r="B321" s="142" t="s">
        <v>626</v>
      </c>
      <c r="C321" s="142" t="s">
        <v>71</v>
      </c>
      <c r="D321" s="142">
        <v>88497</v>
      </c>
      <c r="E321" s="144" t="s">
        <v>111</v>
      </c>
      <c r="F321" s="145" t="s">
        <v>42</v>
      </c>
      <c r="G321" s="146">
        <f>G317</f>
        <v>114.57</v>
      </c>
      <c r="H321" s="146"/>
      <c r="I321" s="147">
        <f>ROUND(H321*(1+BDI),2)</f>
        <v>0</v>
      </c>
      <c r="J321" s="147">
        <f t="shared" si="23"/>
        <v>0</v>
      </c>
    </row>
    <row r="322" spans="2:12" s="129" customFormat="1" ht="18" customHeight="1">
      <c r="B322" s="142" t="s">
        <v>627</v>
      </c>
      <c r="C322" s="142" t="s">
        <v>71</v>
      </c>
      <c r="D322" s="142">
        <v>88496</v>
      </c>
      <c r="E322" s="144" t="s">
        <v>112</v>
      </c>
      <c r="F322" s="145" t="s">
        <v>42</v>
      </c>
      <c r="G322" s="146">
        <f>G320</f>
        <v>48.113699999999994</v>
      </c>
      <c r="H322" s="146"/>
      <c r="I322" s="147">
        <f>ROUND(H322*(1+BDI),2)</f>
        <v>0</v>
      </c>
      <c r="J322" s="147">
        <f t="shared" si="23"/>
        <v>0</v>
      </c>
    </row>
    <row r="323" spans="2:12" s="129" customFormat="1" ht="18" customHeight="1">
      <c r="B323" s="142" t="s">
        <v>628</v>
      </c>
      <c r="C323" s="142" t="s">
        <v>71</v>
      </c>
      <c r="D323" s="142">
        <v>88489</v>
      </c>
      <c r="E323" s="144" t="s">
        <v>98</v>
      </c>
      <c r="F323" s="145" t="s">
        <v>42</v>
      </c>
      <c r="G323" s="146">
        <f>G317</f>
        <v>114.57</v>
      </c>
      <c r="H323" s="146"/>
      <c r="I323" s="147">
        <f>ROUND(H323*(1+BDI),2)</f>
        <v>0</v>
      </c>
      <c r="J323" s="147">
        <f t="shared" si="23"/>
        <v>0</v>
      </c>
    </row>
    <row r="324" spans="2:12" s="129" customFormat="1" ht="18" customHeight="1">
      <c r="B324" s="142" t="s">
        <v>629</v>
      </c>
      <c r="C324" s="142" t="s">
        <v>71</v>
      </c>
      <c r="D324" s="142">
        <v>88488</v>
      </c>
      <c r="E324" s="144" t="s">
        <v>91</v>
      </c>
      <c r="F324" s="145" t="s">
        <v>42</v>
      </c>
      <c r="G324" s="146">
        <f>G322</f>
        <v>48.113699999999994</v>
      </c>
      <c r="H324" s="146"/>
      <c r="I324" s="147">
        <f>ROUND(H324*(1+BDI),2)</f>
        <v>0</v>
      </c>
      <c r="J324" s="147">
        <f t="shared" si="23"/>
        <v>0</v>
      </c>
    </row>
    <row r="325" spans="2:12" s="129" customFormat="1" ht="18" customHeight="1">
      <c r="B325" s="72"/>
      <c r="C325" s="72"/>
      <c r="D325" s="72"/>
      <c r="E325" s="73" t="s">
        <v>888</v>
      </c>
      <c r="F325" s="73" t="s">
        <v>45</v>
      </c>
      <c r="G325" s="74"/>
      <c r="H325" s="75"/>
      <c r="I325" s="76"/>
      <c r="J325" s="76">
        <f>SUM(J317:J324)</f>
        <v>0</v>
      </c>
      <c r="L325" s="209"/>
    </row>
    <row r="326" spans="2:12" s="129" customFormat="1" ht="10.5" customHeight="1">
      <c r="B326" s="130"/>
      <c r="C326" s="130"/>
      <c r="D326" s="130"/>
      <c r="E326" s="131"/>
      <c r="F326" s="131"/>
      <c r="G326" s="132"/>
      <c r="H326" s="133"/>
      <c r="I326" s="134"/>
      <c r="J326" s="134"/>
    </row>
    <row r="327" spans="2:12" s="129" customFormat="1" ht="18" customHeight="1">
      <c r="B327" s="72" t="s">
        <v>608</v>
      </c>
      <c r="C327" s="72"/>
      <c r="D327" s="72"/>
      <c r="E327" s="73" t="s">
        <v>67</v>
      </c>
      <c r="F327" s="73" t="s">
        <v>45</v>
      </c>
      <c r="G327" s="74"/>
      <c r="H327" s="75"/>
      <c r="I327" s="76"/>
      <c r="J327" s="76"/>
    </row>
    <row r="328" spans="2:12" s="129" customFormat="1" ht="18" customHeight="1">
      <c r="B328" s="140" t="s">
        <v>609</v>
      </c>
      <c r="C328" s="142" t="s">
        <v>170</v>
      </c>
      <c r="D328" s="142" t="s">
        <v>542</v>
      </c>
      <c r="E328" s="144" t="s">
        <v>543</v>
      </c>
      <c r="F328" s="145" t="s">
        <v>251</v>
      </c>
      <c r="G328" s="161">
        <v>8</v>
      </c>
      <c r="H328" s="161"/>
      <c r="I328" s="147">
        <f>ROUND(H328*(1+BDI),2)</f>
        <v>0</v>
      </c>
      <c r="J328" s="147">
        <f t="shared" ref="J328" si="24">ROUND(G328*I328,2)</f>
        <v>0</v>
      </c>
    </row>
    <row r="329" spans="2:12" s="129" customFormat="1" ht="18" customHeight="1">
      <c r="B329" s="140" t="s">
        <v>610</v>
      </c>
      <c r="C329" s="142" t="s">
        <v>71</v>
      </c>
      <c r="D329" s="142">
        <v>95781</v>
      </c>
      <c r="E329" s="144" t="s">
        <v>303</v>
      </c>
      <c r="F329" s="145" t="s">
        <v>251</v>
      </c>
      <c r="G329" s="146">
        <v>12</v>
      </c>
      <c r="H329" s="146"/>
      <c r="I329" s="147">
        <f>ROUND(H329*(1+BDI),2)</f>
        <v>0</v>
      </c>
      <c r="J329" s="147">
        <f>ROUND(G329*I329,2)</f>
        <v>0</v>
      </c>
    </row>
    <row r="330" spans="2:12" s="129" customFormat="1" ht="18" customHeight="1">
      <c r="B330" s="140" t="s">
        <v>611</v>
      </c>
      <c r="C330" s="142" t="s">
        <v>71</v>
      </c>
      <c r="D330" s="142">
        <v>95781</v>
      </c>
      <c r="E330" s="144" t="s">
        <v>563</v>
      </c>
      <c r="F330" s="145" t="s">
        <v>251</v>
      </c>
      <c r="G330" s="146">
        <v>21</v>
      </c>
      <c r="H330" s="146"/>
      <c r="I330" s="147">
        <f>ROUND(H330*(1+BDI),2)</f>
        <v>0</v>
      </c>
      <c r="J330" s="147">
        <f>ROUND(G330*I330,2)</f>
        <v>0</v>
      </c>
    </row>
    <row r="331" spans="2:12" s="129" customFormat="1" ht="18" customHeight="1">
      <c r="B331" s="140" t="s">
        <v>612</v>
      </c>
      <c r="C331" s="142" t="s">
        <v>71</v>
      </c>
      <c r="D331" s="142">
        <v>91925</v>
      </c>
      <c r="E331" s="144" t="s">
        <v>1136</v>
      </c>
      <c r="F331" s="145" t="s">
        <v>43</v>
      </c>
      <c r="G331" s="146">
        <v>100</v>
      </c>
      <c r="H331" s="146"/>
      <c r="I331" s="147">
        <f>ROUND(H331*(1+BDI),2)</f>
        <v>0</v>
      </c>
      <c r="J331" s="147">
        <f t="shared" ref="J331" si="25">ROUND(G331*I331,2)</f>
        <v>0</v>
      </c>
    </row>
    <row r="332" spans="2:12" s="129" customFormat="1" ht="18" customHeight="1">
      <c r="B332" s="140" t="s">
        <v>613</v>
      </c>
      <c r="C332" s="142" t="s">
        <v>71</v>
      </c>
      <c r="D332" s="142">
        <v>91927</v>
      </c>
      <c r="E332" s="144" t="s">
        <v>1137</v>
      </c>
      <c r="F332" s="145" t="s">
        <v>43</v>
      </c>
      <c r="G332" s="146">
        <v>200</v>
      </c>
      <c r="H332" s="146"/>
      <c r="I332" s="147">
        <f>ROUND(H332*(1+BDI),2)</f>
        <v>0</v>
      </c>
      <c r="J332" s="147">
        <f>ROUND(G332*I332,2)</f>
        <v>0</v>
      </c>
    </row>
    <row r="333" spans="2:12" s="129" customFormat="1" ht="18" customHeight="1">
      <c r="B333" s="140" t="s">
        <v>614</v>
      </c>
      <c r="C333" s="142" t="s">
        <v>71</v>
      </c>
      <c r="D333" s="142">
        <v>91953</v>
      </c>
      <c r="E333" s="144" t="s">
        <v>100</v>
      </c>
      <c r="F333" s="145" t="s">
        <v>251</v>
      </c>
      <c r="G333" s="146">
        <v>1</v>
      </c>
      <c r="H333" s="146"/>
      <c r="I333" s="147">
        <f>ROUND(H333*(1+BDI),2)</f>
        <v>0</v>
      </c>
      <c r="J333" s="147">
        <f t="shared" ref="J333:J336" si="26">ROUND(G333*I333,2)</f>
        <v>0</v>
      </c>
    </row>
    <row r="334" spans="2:12" s="129" customFormat="1" ht="18" customHeight="1">
      <c r="B334" s="140" t="s">
        <v>615</v>
      </c>
      <c r="C334" s="142" t="s">
        <v>71</v>
      </c>
      <c r="D334" s="142">
        <v>92027</v>
      </c>
      <c r="E334" s="144" t="s">
        <v>540</v>
      </c>
      <c r="F334" s="145" t="s">
        <v>251</v>
      </c>
      <c r="G334" s="146">
        <v>2</v>
      </c>
      <c r="H334" s="146"/>
      <c r="I334" s="147">
        <f>ROUND(H334*(1+BDI),2)</f>
        <v>0</v>
      </c>
      <c r="J334" s="147">
        <f t="shared" si="26"/>
        <v>0</v>
      </c>
    </row>
    <row r="335" spans="2:12" s="129" customFormat="1" ht="18" customHeight="1">
      <c r="B335" s="140" t="s">
        <v>616</v>
      </c>
      <c r="C335" s="142" t="s">
        <v>71</v>
      </c>
      <c r="D335" s="142">
        <v>92000</v>
      </c>
      <c r="E335" s="144" t="s">
        <v>564</v>
      </c>
      <c r="F335" s="145" t="s">
        <v>251</v>
      </c>
      <c r="G335" s="146">
        <f>8+4</f>
        <v>12</v>
      </c>
      <c r="H335" s="146"/>
      <c r="I335" s="147">
        <f>ROUND(H335*(1+BDI),2)</f>
        <v>0</v>
      </c>
      <c r="J335" s="147">
        <f t="shared" si="26"/>
        <v>0</v>
      </c>
    </row>
    <row r="336" spans="2:12" s="129" customFormat="1" ht="18" customHeight="1">
      <c r="B336" s="140" t="s">
        <v>617</v>
      </c>
      <c r="C336" s="142" t="s">
        <v>71</v>
      </c>
      <c r="D336" s="142">
        <v>92008</v>
      </c>
      <c r="E336" s="144" t="s">
        <v>544</v>
      </c>
      <c r="F336" s="145" t="s">
        <v>251</v>
      </c>
      <c r="G336" s="146">
        <v>3</v>
      </c>
      <c r="H336" s="146"/>
      <c r="I336" s="147">
        <f>ROUND(H336*(1+BDI),2)</f>
        <v>0</v>
      </c>
      <c r="J336" s="147">
        <f t="shared" si="26"/>
        <v>0</v>
      </c>
    </row>
    <row r="337" spans="2:12" s="129" customFormat="1" ht="18" customHeight="1">
      <c r="B337" s="140" t="s">
        <v>618</v>
      </c>
      <c r="C337" s="142" t="s">
        <v>71</v>
      </c>
      <c r="D337" s="142">
        <v>92004</v>
      </c>
      <c r="E337" s="144" t="s">
        <v>101</v>
      </c>
      <c r="F337" s="145" t="s">
        <v>251</v>
      </c>
      <c r="G337" s="146">
        <v>11</v>
      </c>
      <c r="H337" s="146"/>
      <c r="I337" s="147">
        <f>ROUND(H337*(1+BDI),2)</f>
        <v>0</v>
      </c>
      <c r="J337" s="147">
        <f>ROUND(G337*I337,2)</f>
        <v>0</v>
      </c>
    </row>
    <row r="338" spans="2:12" s="129" customFormat="1" ht="18" customHeight="1">
      <c r="B338" s="140" t="s">
        <v>619</v>
      </c>
      <c r="C338" s="142" t="s">
        <v>71</v>
      </c>
      <c r="D338" s="142">
        <v>91993</v>
      </c>
      <c r="E338" s="144" t="s">
        <v>545</v>
      </c>
      <c r="F338" s="145" t="s">
        <v>251</v>
      </c>
      <c r="G338" s="146">
        <v>2</v>
      </c>
      <c r="H338" s="146"/>
      <c r="I338" s="147">
        <f>ROUND(H338*(1+BDI),2)</f>
        <v>0</v>
      </c>
      <c r="J338" s="147">
        <f>ROUND(G338*I338,2)</f>
        <v>0</v>
      </c>
    </row>
    <row r="339" spans="2:12" s="129" customFormat="1" ht="18" customHeight="1">
      <c r="B339" s="140" t="s">
        <v>620</v>
      </c>
      <c r="C339" s="142" t="s">
        <v>170</v>
      </c>
      <c r="D339" s="142" t="s">
        <v>280</v>
      </c>
      <c r="E339" s="144" t="s">
        <v>279</v>
      </c>
      <c r="F339" s="145" t="s">
        <v>43</v>
      </c>
      <c r="G339" s="146">
        <f>9.6+9.6+4.37+4.37</f>
        <v>27.94</v>
      </c>
      <c r="H339" s="146"/>
      <c r="I339" s="147">
        <f>ROUND(H339*(1+BDI),2)</f>
        <v>0</v>
      </c>
      <c r="J339" s="147">
        <f>ROUND(G339*I339,2)</f>
        <v>0</v>
      </c>
    </row>
    <row r="340" spans="2:12" s="129" customFormat="1" ht="18" customHeight="1">
      <c r="B340" s="140" t="s">
        <v>621</v>
      </c>
      <c r="C340" s="142" t="s">
        <v>170</v>
      </c>
      <c r="D340" s="142" t="s">
        <v>539</v>
      </c>
      <c r="E340" s="144" t="s">
        <v>876</v>
      </c>
      <c r="F340" s="145" t="s">
        <v>251</v>
      </c>
      <c r="G340" s="146">
        <v>12</v>
      </c>
      <c r="H340" s="146"/>
      <c r="I340" s="147">
        <f>ROUND(H340*(1+BDI),2)</f>
        <v>0</v>
      </c>
      <c r="J340" s="147">
        <f>ROUND(G340*I340,2)</f>
        <v>0</v>
      </c>
    </row>
    <row r="341" spans="2:12" s="129" customFormat="1" ht="18" customHeight="1">
      <c r="B341" s="72"/>
      <c r="C341" s="72"/>
      <c r="D341" s="72"/>
      <c r="E341" s="73" t="s">
        <v>889</v>
      </c>
      <c r="F341" s="73" t="s">
        <v>45</v>
      </c>
      <c r="G341" s="74"/>
      <c r="H341" s="75"/>
      <c r="I341" s="76"/>
      <c r="J341" s="76">
        <f>SUM(J328:J340)</f>
        <v>0</v>
      </c>
      <c r="L341" s="209"/>
    </row>
    <row r="342" spans="2:12" s="129" customFormat="1" ht="8.25" customHeight="1">
      <c r="B342" s="130"/>
      <c r="C342" s="130"/>
      <c r="D342" s="130"/>
      <c r="E342" s="131"/>
      <c r="F342" s="131"/>
      <c r="G342" s="132"/>
      <c r="H342" s="133"/>
      <c r="I342" s="134"/>
      <c r="J342" s="134"/>
    </row>
    <row r="343" spans="2:12" s="129" customFormat="1" ht="18" customHeight="1">
      <c r="B343" s="335" t="s">
        <v>381</v>
      </c>
      <c r="C343" s="335"/>
      <c r="D343" s="335"/>
      <c r="E343" s="335"/>
      <c r="F343" s="335"/>
      <c r="G343" s="335"/>
      <c r="H343" s="335"/>
      <c r="I343" s="335"/>
      <c r="J343" s="169">
        <f>J341+J325+J314+J309+J304+J298+J293+J287</f>
        <v>0</v>
      </c>
    </row>
    <row r="344" spans="2:12" s="129" customFormat="1" ht="7.5" customHeight="1">
      <c r="B344" s="130"/>
      <c r="C344" s="130"/>
      <c r="D344" s="130"/>
      <c r="E344" s="131"/>
      <c r="F344" s="131"/>
      <c r="G344" s="132"/>
      <c r="H344" s="133"/>
      <c r="I344" s="134"/>
      <c r="J344" s="134"/>
    </row>
    <row r="345" spans="2:12" s="129" customFormat="1" ht="18" customHeight="1">
      <c r="B345" s="314" t="s">
        <v>662</v>
      </c>
      <c r="C345" s="315"/>
      <c r="D345" s="315"/>
      <c r="E345" s="315"/>
      <c r="F345" s="315"/>
      <c r="G345" s="315"/>
      <c r="H345" s="315"/>
      <c r="I345" s="315"/>
      <c r="J345" s="316"/>
    </row>
    <row r="346" spans="2:12" s="129" customFormat="1" ht="18" customHeight="1">
      <c r="B346" s="72" t="s">
        <v>387</v>
      </c>
      <c r="C346" s="72"/>
      <c r="D346" s="72"/>
      <c r="E346" s="73" t="s">
        <v>89</v>
      </c>
      <c r="F346" s="73" t="s">
        <v>45</v>
      </c>
      <c r="G346" s="74"/>
      <c r="H346" s="75"/>
      <c r="I346" s="76"/>
      <c r="J346" s="76"/>
    </row>
    <row r="347" spans="2:12" s="129" customFormat="1" ht="18" customHeight="1">
      <c r="B347" s="140" t="s">
        <v>388</v>
      </c>
      <c r="C347" s="140" t="s">
        <v>71</v>
      </c>
      <c r="D347" s="140">
        <v>97633</v>
      </c>
      <c r="E347" s="148" t="s">
        <v>353</v>
      </c>
      <c r="F347" s="140" t="s">
        <v>42</v>
      </c>
      <c r="G347" s="161">
        <f>'PLANILHA CÁLCULO'!F11+'PLANILHA CÁLCULO'!F10</f>
        <v>43.922399999999996</v>
      </c>
      <c r="H347" s="146"/>
      <c r="I347" s="147">
        <f>ROUND(H347*(1+BDI),2)</f>
        <v>0</v>
      </c>
      <c r="J347" s="147">
        <f t="shared" ref="J347:J351" si="27">ROUND(G347*I347,2)</f>
        <v>0</v>
      </c>
    </row>
    <row r="348" spans="2:12" s="129" customFormat="1" ht="18" customHeight="1">
      <c r="B348" s="140" t="s">
        <v>389</v>
      </c>
      <c r="C348" s="140" t="s">
        <v>71</v>
      </c>
      <c r="D348" s="140">
        <v>97632</v>
      </c>
      <c r="E348" s="148" t="s">
        <v>354</v>
      </c>
      <c r="F348" s="140" t="s">
        <v>43</v>
      </c>
      <c r="G348" s="161">
        <f>'PLANILHA CÁLCULO'!E11+'PLANILHA CÁLCULO'!E10</f>
        <v>40.5</v>
      </c>
      <c r="H348" s="146"/>
      <c r="I348" s="147">
        <f>ROUND(H348*(1+BDI),2)</f>
        <v>0</v>
      </c>
      <c r="J348" s="147">
        <f t="shared" si="27"/>
        <v>0</v>
      </c>
    </row>
    <row r="349" spans="2:12" s="129" customFormat="1" ht="18" customHeight="1">
      <c r="B349" s="140" t="s">
        <v>667</v>
      </c>
      <c r="C349" s="142" t="s">
        <v>62</v>
      </c>
      <c r="D349" s="194" t="str">
        <f>COMPOSIÇÕES!C38</f>
        <v>COMP007</v>
      </c>
      <c r="E349" s="148" t="s">
        <v>646</v>
      </c>
      <c r="F349" s="140" t="s">
        <v>251</v>
      </c>
      <c r="G349" s="161">
        <v>1</v>
      </c>
      <c r="H349" s="146"/>
      <c r="I349" s="147">
        <f>ROUND(H349*(1+BDI),2)</f>
        <v>0</v>
      </c>
      <c r="J349" s="147">
        <f t="shared" si="27"/>
        <v>0</v>
      </c>
    </row>
    <row r="350" spans="2:12" s="129" customFormat="1" ht="18" customHeight="1">
      <c r="B350" s="140" t="s">
        <v>668</v>
      </c>
      <c r="C350" s="142" t="s">
        <v>71</v>
      </c>
      <c r="D350" s="142">
        <v>97660</v>
      </c>
      <c r="E350" s="148" t="s">
        <v>305</v>
      </c>
      <c r="F350" s="140" t="s">
        <v>72</v>
      </c>
      <c r="G350" s="161">
        <v>4</v>
      </c>
      <c r="H350" s="146"/>
      <c r="I350" s="147">
        <f>ROUND(H350*(1+BDI),2)</f>
        <v>0</v>
      </c>
      <c r="J350" s="147">
        <f t="shared" si="27"/>
        <v>0</v>
      </c>
    </row>
    <row r="351" spans="2:12" s="129" customFormat="1" ht="18" customHeight="1">
      <c r="B351" s="140" t="s">
        <v>669</v>
      </c>
      <c r="C351" s="142" t="s">
        <v>71</v>
      </c>
      <c r="D351" s="142">
        <v>97665</v>
      </c>
      <c r="E351" s="148" t="s">
        <v>306</v>
      </c>
      <c r="F351" s="140" t="s">
        <v>72</v>
      </c>
      <c r="G351" s="161">
        <v>6</v>
      </c>
      <c r="H351" s="146"/>
      <c r="I351" s="147">
        <f>ROUND(H351*(1+BDI),2)</f>
        <v>0</v>
      </c>
      <c r="J351" s="147">
        <f t="shared" si="27"/>
        <v>0</v>
      </c>
    </row>
    <row r="352" spans="2:12" s="129" customFormat="1" ht="18" customHeight="1">
      <c r="B352" s="140" t="s">
        <v>670</v>
      </c>
      <c r="C352" s="142" t="s">
        <v>71</v>
      </c>
      <c r="D352" s="142">
        <v>97622</v>
      </c>
      <c r="E352" s="148" t="s">
        <v>386</v>
      </c>
      <c r="F352" s="140" t="s">
        <v>44</v>
      </c>
      <c r="G352" s="161">
        <f>(2.32+0.68+0.69+0.11)*3*0.18</f>
        <v>2.0519999999999996</v>
      </c>
      <c r="H352" s="146"/>
      <c r="I352" s="147">
        <f>ROUND(H352*(1+BDI),2)</f>
        <v>0</v>
      </c>
      <c r="J352" s="147">
        <f>ROUND(G352*I352,2)</f>
        <v>0</v>
      </c>
    </row>
    <row r="353" spans="2:13" s="129" customFormat="1" ht="18" customHeight="1">
      <c r="B353" s="72"/>
      <c r="C353" s="72"/>
      <c r="D353" s="72"/>
      <c r="E353" s="73" t="s">
        <v>890</v>
      </c>
      <c r="F353" s="73" t="s">
        <v>45</v>
      </c>
      <c r="G353" s="74"/>
      <c r="H353" s="75"/>
      <c r="I353" s="76"/>
      <c r="J353" s="76">
        <f>SUM(J347:J352)</f>
        <v>0</v>
      </c>
      <c r="L353" s="209"/>
    </row>
    <row r="354" spans="2:13" s="129" customFormat="1" ht="8.25" customHeight="1">
      <c r="B354" s="130"/>
      <c r="C354" s="130"/>
      <c r="D354" s="130"/>
      <c r="E354" s="131"/>
      <c r="F354" s="131"/>
      <c r="G354" s="132"/>
      <c r="H354" s="133"/>
      <c r="I354" s="134"/>
      <c r="J354" s="134"/>
    </row>
    <row r="355" spans="2:13" s="129" customFormat="1" ht="18" customHeight="1">
      <c r="B355" s="72" t="s">
        <v>893</v>
      </c>
      <c r="C355" s="72"/>
      <c r="D355" s="72"/>
      <c r="E355" s="73" t="s">
        <v>123</v>
      </c>
      <c r="F355" s="73" t="s">
        <v>45</v>
      </c>
      <c r="G355" s="74"/>
      <c r="H355" s="75"/>
      <c r="I355" s="76"/>
      <c r="J355" s="76"/>
    </row>
    <row r="356" spans="2:13" s="129" customFormat="1" ht="18" customHeight="1">
      <c r="B356" s="140" t="s">
        <v>907</v>
      </c>
      <c r="C356" s="140" t="s">
        <v>170</v>
      </c>
      <c r="D356" s="140" t="s">
        <v>171</v>
      </c>
      <c r="E356" s="141" t="s">
        <v>356</v>
      </c>
      <c r="F356" s="140" t="s">
        <v>88</v>
      </c>
      <c r="G356" s="146">
        <v>36</v>
      </c>
      <c r="H356" s="146"/>
      <c r="I356" s="147">
        <f>ROUND(H356*(1+BDI),2)</f>
        <v>0</v>
      </c>
      <c r="J356" s="147">
        <f>ROUND(G356*I356,2)</f>
        <v>0</v>
      </c>
    </row>
    <row r="357" spans="2:13" s="129" customFormat="1" ht="30.75" customHeight="1">
      <c r="B357" s="140" t="s">
        <v>908</v>
      </c>
      <c r="C357" s="140" t="s">
        <v>71</v>
      </c>
      <c r="D357" s="140">
        <v>104598</v>
      </c>
      <c r="E357" s="141" t="s">
        <v>390</v>
      </c>
      <c r="F357" s="140" t="s">
        <v>42</v>
      </c>
      <c r="G357" s="146">
        <f>'PLANILHA CÁLCULO'!F11+'PLANILHA CÁLCULO'!F10</f>
        <v>43.922399999999996</v>
      </c>
      <c r="H357" s="146"/>
      <c r="I357" s="147">
        <f>ROUND(H357*(1+BDI),2)</f>
        <v>0</v>
      </c>
      <c r="J357" s="147">
        <f>ROUND(G357*I357,2)</f>
        <v>0</v>
      </c>
    </row>
    <row r="358" spans="2:13" s="129" customFormat="1" ht="18" customHeight="1">
      <c r="B358" s="140" t="s">
        <v>909</v>
      </c>
      <c r="C358" s="142" t="s">
        <v>71</v>
      </c>
      <c r="D358" s="159" t="s">
        <v>359</v>
      </c>
      <c r="E358" s="144" t="s">
        <v>358</v>
      </c>
      <c r="F358" s="145" t="s">
        <v>43</v>
      </c>
      <c r="G358" s="146">
        <f>'PLANILHA CÁLCULO'!Z11+'PLANILHA CÁLCULO'!Z10</f>
        <v>40.5</v>
      </c>
      <c r="H358" s="146"/>
      <c r="I358" s="147">
        <f>ROUND(H358*(1+BDI),2)</f>
        <v>0</v>
      </c>
      <c r="J358" s="147">
        <f t="shared" ref="J358" si="28">ROUND(G358*I358,2)</f>
        <v>0</v>
      </c>
    </row>
    <row r="359" spans="2:13" s="129" customFormat="1" ht="18" customHeight="1">
      <c r="B359" s="72"/>
      <c r="C359" s="72"/>
      <c r="D359" s="72"/>
      <c r="E359" s="73" t="s">
        <v>891</v>
      </c>
      <c r="F359" s="73" t="s">
        <v>45</v>
      </c>
      <c r="G359" s="74"/>
      <c r="H359" s="75"/>
      <c r="I359" s="76"/>
      <c r="J359" s="76">
        <f>SUM(J356:J358)</f>
        <v>0</v>
      </c>
      <c r="M359" s="208"/>
    </row>
    <row r="360" spans="2:13" s="129" customFormat="1" ht="10.5" customHeight="1">
      <c r="B360" s="130"/>
      <c r="C360" s="130"/>
      <c r="D360" s="130"/>
      <c r="E360" s="131"/>
      <c r="F360" s="131"/>
      <c r="G360" s="132"/>
      <c r="H360" s="133"/>
      <c r="I360" s="134"/>
      <c r="J360" s="134"/>
    </row>
    <row r="361" spans="2:13" s="129" customFormat="1" ht="18" customHeight="1">
      <c r="B361" s="72" t="s">
        <v>894</v>
      </c>
      <c r="C361" s="72"/>
      <c r="D361" s="72"/>
      <c r="E361" s="73" t="s">
        <v>391</v>
      </c>
      <c r="F361" s="73" t="s">
        <v>45</v>
      </c>
      <c r="G361" s="74"/>
      <c r="H361" s="75"/>
      <c r="I361" s="76"/>
      <c r="J361" s="76"/>
    </row>
    <row r="362" spans="2:13" s="129" customFormat="1" ht="33" customHeight="1">
      <c r="B362" s="140" t="s">
        <v>910</v>
      </c>
      <c r="C362" s="140" t="s">
        <v>71</v>
      </c>
      <c r="D362" s="140">
        <v>96361</v>
      </c>
      <c r="E362" s="141" t="s">
        <v>392</v>
      </c>
      <c r="F362" s="140" t="s">
        <v>42</v>
      </c>
      <c r="G362" s="146">
        <f>3*(2.32)</f>
        <v>6.9599999999999991</v>
      </c>
      <c r="H362" s="146"/>
      <c r="I362" s="147">
        <f>ROUND(H362*(1+BDI),2)</f>
        <v>0</v>
      </c>
      <c r="J362" s="147">
        <f>ROUND(G362*I362,2)</f>
        <v>0</v>
      </c>
    </row>
    <row r="363" spans="2:13" s="129" customFormat="1" ht="23.25" customHeight="1">
      <c r="B363" s="140" t="s">
        <v>911</v>
      </c>
      <c r="C363" s="142" t="s">
        <v>71</v>
      </c>
      <c r="D363" s="159" t="s">
        <v>416</v>
      </c>
      <c r="E363" s="144" t="s">
        <v>415</v>
      </c>
      <c r="F363" s="145" t="s">
        <v>42</v>
      </c>
      <c r="G363" s="146">
        <f>0.8*2.1</f>
        <v>1.6800000000000002</v>
      </c>
      <c r="H363" s="146"/>
      <c r="I363" s="147">
        <f>ROUND(H363*(1+BDI),2)</f>
        <v>0</v>
      </c>
      <c r="J363" s="147">
        <f>ROUND(G363*I363,2)</f>
        <v>0</v>
      </c>
    </row>
    <row r="364" spans="2:13" s="129" customFormat="1" ht="18" customHeight="1">
      <c r="B364" s="72"/>
      <c r="C364" s="72"/>
      <c r="D364" s="72"/>
      <c r="E364" s="73" t="s">
        <v>892</v>
      </c>
      <c r="F364" s="73" t="s">
        <v>45</v>
      </c>
      <c r="G364" s="74"/>
      <c r="H364" s="75"/>
      <c r="I364" s="76"/>
      <c r="J364" s="76">
        <f>SUM(J362:J363)</f>
        <v>0</v>
      </c>
      <c r="M364" s="209"/>
    </row>
    <row r="365" spans="2:13" s="129" customFormat="1" ht="9" customHeight="1">
      <c r="B365" s="130"/>
      <c r="C365" s="130"/>
      <c r="D365" s="130"/>
      <c r="E365" s="131"/>
      <c r="F365" s="131"/>
      <c r="G365" s="132"/>
      <c r="H365" s="133"/>
      <c r="I365" s="134"/>
      <c r="J365" s="134"/>
    </row>
    <row r="366" spans="2:13" s="129" customFormat="1" ht="18" customHeight="1">
      <c r="B366" s="72" t="s">
        <v>895</v>
      </c>
      <c r="C366" s="72"/>
      <c r="D366" s="72"/>
      <c r="E366" s="73" t="s">
        <v>411</v>
      </c>
      <c r="F366" s="73" t="s">
        <v>45</v>
      </c>
      <c r="G366" s="74"/>
      <c r="H366" s="75"/>
      <c r="I366" s="76"/>
      <c r="J366" s="76"/>
    </row>
    <row r="367" spans="2:13" s="129" customFormat="1" ht="18" customHeight="1">
      <c r="B367" s="140" t="s">
        <v>912</v>
      </c>
      <c r="C367" s="140" t="s">
        <v>170</v>
      </c>
      <c r="D367" s="140" t="s">
        <v>1132</v>
      </c>
      <c r="E367" s="141" t="s">
        <v>414</v>
      </c>
      <c r="F367" s="140" t="s">
        <v>251</v>
      </c>
      <c r="G367" s="146">
        <v>15</v>
      </c>
      <c r="H367" s="146"/>
      <c r="I367" s="146">
        <f>ROUND(H367*(1+BDI),2)</f>
        <v>0</v>
      </c>
      <c r="J367" s="146">
        <f>ROUND(G367*I367,2)</f>
        <v>0</v>
      </c>
    </row>
    <row r="368" spans="2:13" s="129" customFormat="1" ht="27" customHeight="1">
      <c r="B368" s="140" t="s">
        <v>913</v>
      </c>
      <c r="C368" s="142" t="s">
        <v>71</v>
      </c>
      <c r="D368" s="143" t="s">
        <v>412</v>
      </c>
      <c r="E368" s="148" t="s">
        <v>413</v>
      </c>
      <c r="F368" s="140" t="s">
        <v>42</v>
      </c>
      <c r="G368" s="146">
        <f>G363*2</f>
        <v>3.3600000000000003</v>
      </c>
      <c r="H368" s="146"/>
      <c r="I368" s="147">
        <f>ROUND(H368*(1+BDI),2)</f>
        <v>0</v>
      </c>
      <c r="J368" s="147">
        <f>ROUND(G368*I368,2)</f>
        <v>0</v>
      </c>
    </row>
    <row r="369" spans="2:14" s="129" customFormat="1" ht="28.5" customHeight="1">
      <c r="B369" s="140" t="s">
        <v>914</v>
      </c>
      <c r="C369" s="140" t="s">
        <v>71</v>
      </c>
      <c r="D369" s="140">
        <v>87527</v>
      </c>
      <c r="E369" s="141" t="s">
        <v>666</v>
      </c>
      <c r="F369" s="140" t="s">
        <v>42</v>
      </c>
      <c r="G369" s="146">
        <f>G368</f>
        <v>3.3600000000000003</v>
      </c>
      <c r="H369" s="146"/>
      <c r="I369" s="147">
        <f>ROUND(H369*(1+BDI),2)</f>
        <v>0</v>
      </c>
      <c r="J369" s="147">
        <f>ROUND(G369*I369,2)</f>
        <v>0</v>
      </c>
    </row>
    <row r="370" spans="2:14" s="129" customFormat="1" ht="24" customHeight="1">
      <c r="B370" s="140" t="s">
        <v>915</v>
      </c>
      <c r="C370" s="142" t="s">
        <v>71</v>
      </c>
      <c r="D370" s="159" t="s">
        <v>665</v>
      </c>
      <c r="E370" s="144" t="s">
        <v>664</v>
      </c>
      <c r="F370" s="145" t="s">
        <v>42</v>
      </c>
      <c r="G370" s="146">
        <f>'PLANILHA CÁLCULO'!AL10</f>
        <v>15.599999999999998</v>
      </c>
      <c r="H370" s="146"/>
      <c r="I370" s="147">
        <f>ROUND(H370*(1+BDI),2)</f>
        <v>0</v>
      </c>
      <c r="J370" s="147">
        <f>ROUND(G370*I370,2)</f>
        <v>0</v>
      </c>
    </row>
    <row r="371" spans="2:14" s="129" customFormat="1" ht="18" customHeight="1">
      <c r="B371" s="72"/>
      <c r="C371" s="72"/>
      <c r="D371" s="72"/>
      <c r="E371" s="73" t="s">
        <v>906</v>
      </c>
      <c r="F371" s="73" t="s">
        <v>45</v>
      </c>
      <c r="G371" s="74"/>
      <c r="H371" s="75"/>
      <c r="I371" s="76"/>
      <c r="J371" s="76">
        <f>SUM(J367:J370)</f>
        <v>0</v>
      </c>
      <c r="M371" s="209"/>
      <c r="N371" s="209"/>
    </row>
    <row r="372" spans="2:14" s="129" customFormat="1" ht="10.5" customHeight="1">
      <c r="B372" s="130"/>
      <c r="C372" s="130"/>
      <c r="D372" s="130"/>
      <c r="E372" s="131"/>
      <c r="F372" s="131"/>
      <c r="G372" s="132"/>
      <c r="H372" s="133"/>
      <c r="I372" s="134"/>
      <c r="J372" s="134"/>
    </row>
    <row r="373" spans="2:14" s="129" customFormat="1" ht="18" customHeight="1">
      <c r="B373" s="72" t="s">
        <v>896</v>
      </c>
      <c r="C373" s="72"/>
      <c r="D373" s="72"/>
      <c r="E373" s="73" t="s">
        <v>110</v>
      </c>
      <c r="F373" s="73" t="s">
        <v>45</v>
      </c>
      <c r="G373" s="74"/>
      <c r="H373" s="75"/>
      <c r="I373" s="76"/>
      <c r="J373" s="76"/>
    </row>
    <row r="374" spans="2:14" s="129" customFormat="1" ht="18" customHeight="1">
      <c r="B374" s="142" t="s">
        <v>916</v>
      </c>
      <c r="C374" s="142" t="s">
        <v>62</v>
      </c>
      <c r="D374" s="142" t="s">
        <v>118</v>
      </c>
      <c r="E374" s="192" t="s">
        <v>339</v>
      </c>
      <c r="F374" s="142" t="s">
        <v>42</v>
      </c>
      <c r="G374" s="193">
        <f>'PLANILHA CÁLCULO'!F10+'PLANILHA CÁLCULO'!F11</f>
        <v>43.922399999999996</v>
      </c>
      <c r="H374" s="146"/>
      <c r="I374" s="147">
        <f>ROUND(H374*(1+BDI),2)</f>
        <v>0</v>
      </c>
      <c r="J374" s="147">
        <f>ROUND(G374*I374,2)</f>
        <v>0</v>
      </c>
    </row>
    <row r="375" spans="2:14" s="129" customFormat="1" ht="18" customHeight="1">
      <c r="B375" s="142" t="s">
        <v>917</v>
      </c>
      <c r="C375" s="142" t="s">
        <v>71</v>
      </c>
      <c r="D375" s="142">
        <v>88484</v>
      </c>
      <c r="E375" s="192" t="s">
        <v>338</v>
      </c>
      <c r="F375" s="142" t="s">
        <v>42</v>
      </c>
      <c r="G375" s="193">
        <f>G374</f>
        <v>43.922399999999996</v>
      </c>
      <c r="H375" s="146"/>
      <c r="I375" s="147">
        <f>ROUND(H375*(1+BDI),2)</f>
        <v>0</v>
      </c>
      <c r="J375" s="147">
        <f t="shared" ref="J375:J377" si="29">ROUND(G375*I375,2)</f>
        <v>0</v>
      </c>
    </row>
    <row r="376" spans="2:14" s="129" customFormat="1" ht="18" customHeight="1">
      <c r="B376" s="142" t="s">
        <v>918</v>
      </c>
      <c r="C376" s="142" t="s">
        <v>71</v>
      </c>
      <c r="D376" s="142">
        <v>88496</v>
      </c>
      <c r="E376" s="144" t="s">
        <v>112</v>
      </c>
      <c r="F376" s="145" t="s">
        <v>42</v>
      </c>
      <c r="G376" s="146">
        <f>G375</f>
        <v>43.922399999999996</v>
      </c>
      <c r="H376" s="146"/>
      <c r="I376" s="147">
        <f>ROUND(H376*(1+BDI),2)</f>
        <v>0</v>
      </c>
      <c r="J376" s="147">
        <f t="shared" si="29"/>
        <v>0</v>
      </c>
    </row>
    <row r="377" spans="2:14" s="129" customFormat="1" ht="18" customHeight="1">
      <c r="B377" s="142" t="s">
        <v>919</v>
      </c>
      <c r="C377" s="142" t="s">
        <v>71</v>
      </c>
      <c r="D377" s="142">
        <v>88488</v>
      </c>
      <c r="E377" s="144" t="s">
        <v>91</v>
      </c>
      <c r="F377" s="145" t="s">
        <v>42</v>
      </c>
      <c r="G377" s="146">
        <f>G376</f>
        <v>43.922399999999996</v>
      </c>
      <c r="H377" s="146"/>
      <c r="I377" s="147">
        <f>ROUND(H377*(1+BDI),2)</f>
        <v>0</v>
      </c>
      <c r="J377" s="147">
        <f t="shared" si="29"/>
        <v>0</v>
      </c>
    </row>
    <row r="378" spans="2:14" s="129" customFormat="1" ht="18" customHeight="1">
      <c r="B378" s="72"/>
      <c r="C378" s="72"/>
      <c r="D378" s="72"/>
      <c r="E378" s="73" t="s">
        <v>905</v>
      </c>
      <c r="F378" s="73" t="s">
        <v>45</v>
      </c>
      <c r="G378" s="74"/>
      <c r="H378" s="75"/>
      <c r="I378" s="76"/>
      <c r="J378" s="76">
        <f>SUM(J374:J377)</f>
        <v>0</v>
      </c>
      <c r="L378" s="209"/>
    </row>
    <row r="379" spans="2:14" s="129" customFormat="1" ht="10.5" customHeight="1">
      <c r="B379" s="130"/>
      <c r="C379" s="130"/>
      <c r="D379" s="130"/>
      <c r="E379" s="131"/>
      <c r="F379" s="131"/>
      <c r="G379" s="132"/>
      <c r="H379" s="133"/>
      <c r="I379" s="134"/>
      <c r="J379" s="134"/>
    </row>
    <row r="380" spans="2:14" s="129" customFormat="1" ht="10.5" customHeight="1">
      <c r="B380" s="72" t="s">
        <v>897</v>
      </c>
      <c r="C380" s="72"/>
      <c r="D380" s="72"/>
      <c r="E380" s="73" t="s">
        <v>449</v>
      </c>
      <c r="F380" s="73" t="s">
        <v>45</v>
      </c>
      <c r="G380" s="74"/>
      <c r="H380" s="75"/>
      <c r="I380" s="76"/>
      <c r="J380" s="76"/>
    </row>
    <row r="381" spans="2:14" s="129" customFormat="1" ht="18" customHeight="1">
      <c r="B381" s="140" t="s">
        <v>920</v>
      </c>
      <c r="C381" s="142" t="s">
        <v>71</v>
      </c>
      <c r="D381" s="143">
        <v>89402</v>
      </c>
      <c r="E381" s="148" t="s">
        <v>450</v>
      </c>
      <c r="F381" s="140" t="s">
        <v>43</v>
      </c>
      <c r="G381" s="146">
        <v>15</v>
      </c>
      <c r="H381" s="146"/>
      <c r="I381" s="147">
        <f>ROUND(H381*(1+BDI),2)</f>
        <v>0</v>
      </c>
      <c r="J381" s="147">
        <f t="shared" ref="J381:J385" si="30">ROUND(G381*I381,2)</f>
        <v>0</v>
      </c>
    </row>
    <row r="382" spans="2:14" s="129" customFormat="1" ht="18" customHeight="1">
      <c r="B382" s="140" t="s">
        <v>921</v>
      </c>
      <c r="C382" s="142" t="s">
        <v>71</v>
      </c>
      <c r="D382" s="143">
        <v>89481</v>
      </c>
      <c r="E382" s="148" t="s">
        <v>451</v>
      </c>
      <c r="F382" s="140" t="s">
        <v>72</v>
      </c>
      <c r="G382" s="146">
        <v>3</v>
      </c>
      <c r="H382" s="146"/>
      <c r="I382" s="147">
        <f>ROUND(H382*(1+BDI),2)</f>
        <v>0</v>
      </c>
      <c r="J382" s="147">
        <f t="shared" si="30"/>
        <v>0</v>
      </c>
    </row>
    <row r="383" spans="2:14" s="129" customFormat="1" ht="18" customHeight="1">
      <c r="B383" s="140" t="s">
        <v>922</v>
      </c>
      <c r="C383" s="142" t="s">
        <v>71</v>
      </c>
      <c r="D383" s="143">
        <v>89617</v>
      </c>
      <c r="E383" s="148" t="s">
        <v>452</v>
      </c>
      <c r="F383" s="140" t="s">
        <v>72</v>
      </c>
      <c r="G383" s="146">
        <v>3</v>
      </c>
      <c r="H383" s="146"/>
      <c r="I383" s="147">
        <f>ROUND(H383*(1+BDI),2)</f>
        <v>0</v>
      </c>
      <c r="J383" s="147">
        <f t="shared" si="30"/>
        <v>0</v>
      </c>
    </row>
    <row r="384" spans="2:14" s="129" customFormat="1" ht="18" customHeight="1">
      <c r="B384" s="140" t="s">
        <v>923</v>
      </c>
      <c r="C384" s="142" t="s">
        <v>71</v>
      </c>
      <c r="D384" s="143">
        <v>89987</v>
      </c>
      <c r="E384" s="148" t="s">
        <v>453</v>
      </c>
      <c r="F384" s="140" t="s">
        <v>72</v>
      </c>
      <c r="G384" s="146">
        <v>1</v>
      </c>
      <c r="H384" s="146"/>
      <c r="I384" s="147">
        <f>ROUND(H384*(1+BDI),2)</f>
        <v>0</v>
      </c>
      <c r="J384" s="147">
        <f t="shared" si="30"/>
        <v>0</v>
      </c>
    </row>
    <row r="385" spans="2:12" s="129" customFormat="1" ht="18" customHeight="1">
      <c r="B385" s="140" t="s">
        <v>924</v>
      </c>
      <c r="C385" s="142" t="s">
        <v>71</v>
      </c>
      <c r="D385" s="143">
        <v>89366</v>
      </c>
      <c r="E385" s="148" t="s">
        <v>483</v>
      </c>
      <c r="F385" s="140" t="s">
        <v>72</v>
      </c>
      <c r="G385" s="146">
        <v>3</v>
      </c>
      <c r="H385" s="146"/>
      <c r="I385" s="147">
        <f>ROUND(H385*(1+BDI),2)</f>
        <v>0</v>
      </c>
      <c r="J385" s="147">
        <f t="shared" si="30"/>
        <v>0</v>
      </c>
    </row>
    <row r="386" spans="2:12" s="129" customFormat="1" ht="18" customHeight="1">
      <c r="B386" s="140" t="s">
        <v>925</v>
      </c>
      <c r="C386" s="142" t="s">
        <v>71</v>
      </c>
      <c r="D386" s="143">
        <v>89385</v>
      </c>
      <c r="E386" s="148" t="s">
        <v>484</v>
      </c>
      <c r="F386" s="140" t="s">
        <v>72</v>
      </c>
      <c r="G386" s="146">
        <v>4</v>
      </c>
      <c r="H386" s="146"/>
      <c r="I386" s="147">
        <f>ROUND(H386*(1+BDI),2)</f>
        <v>0</v>
      </c>
      <c r="J386" s="147">
        <f>ROUND(G386*I386,2)</f>
        <v>0</v>
      </c>
    </row>
    <row r="387" spans="2:12" s="129" customFormat="1" ht="18" customHeight="1">
      <c r="B387" s="72"/>
      <c r="C387" s="72"/>
      <c r="D387" s="72"/>
      <c r="E387" s="73" t="s">
        <v>904</v>
      </c>
      <c r="F387" s="73" t="s">
        <v>45</v>
      </c>
      <c r="G387" s="74"/>
      <c r="H387" s="75"/>
      <c r="I387" s="76"/>
      <c r="J387" s="76">
        <f>SUM(J381:J386)</f>
        <v>0</v>
      </c>
      <c r="L387" s="209"/>
    </row>
    <row r="388" spans="2:12" s="129" customFormat="1" ht="9" customHeight="1">
      <c r="B388" s="130"/>
      <c r="C388" s="130"/>
      <c r="D388" s="130"/>
      <c r="E388" s="131"/>
      <c r="F388" s="131"/>
      <c r="G388" s="132"/>
      <c r="H388" s="133"/>
      <c r="I388" s="134"/>
      <c r="J388" s="134"/>
    </row>
    <row r="389" spans="2:12" s="129" customFormat="1" ht="18" customHeight="1">
      <c r="B389" s="72" t="s">
        <v>898</v>
      </c>
      <c r="C389" s="72"/>
      <c r="D389" s="72"/>
      <c r="E389" s="73" t="s">
        <v>643</v>
      </c>
      <c r="F389" s="73" t="s">
        <v>45</v>
      </c>
      <c r="G389" s="74"/>
      <c r="H389" s="75"/>
      <c r="I389" s="76"/>
      <c r="J389" s="76"/>
    </row>
    <row r="390" spans="2:12" s="129" customFormat="1" ht="18" customHeight="1">
      <c r="B390" s="140" t="s">
        <v>926</v>
      </c>
      <c r="C390" s="142" t="s">
        <v>71</v>
      </c>
      <c r="D390" s="142">
        <v>86909</v>
      </c>
      <c r="E390" s="144" t="s">
        <v>645</v>
      </c>
      <c r="F390" s="145" t="s">
        <v>251</v>
      </c>
      <c r="G390" s="146">
        <v>1</v>
      </c>
      <c r="H390" s="146"/>
      <c r="I390" s="147">
        <f>ROUND(H390*(1+BDI),2)</f>
        <v>0</v>
      </c>
      <c r="J390" s="147">
        <f t="shared" ref="J390:J391" si="31">ROUND(G390*I390,2)</f>
        <v>0</v>
      </c>
    </row>
    <row r="391" spans="2:12" s="129" customFormat="1" ht="18" customHeight="1">
      <c r="B391" s="140" t="s">
        <v>927</v>
      </c>
      <c r="C391" s="142" t="s">
        <v>71</v>
      </c>
      <c r="D391" s="142">
        <v>86908</v>
      </c>
      <c r="E391" s="144" t="s">
        <v>644</v>
      </c>
      <c r="F391" s="145" t="s">
        <v>251</v>
      </c>
      <c r="G391" s="146">
        <v>1</v>
      </c>
      <c r="H391" s="146"/>
      <c r="I391" s="147">
        <f>ROUND(H391*(1+BDI),2)</f>
        <v>0</v>
      </c>
      <c r="J391" s="147">
        <f t="shared" si="31"/>
        <v>0</v>
      </c>
    </row>
    <row r="392" spans="2:12" s="129" customFormat="1" ht="18" customHeight="1">
      <c r="B392" s="140" t="s">
        <v>928</v>
      </c>
      <c r="C392" s="142" t="s">
        <v>71</v>
      </c>
      <c r="D392" s="142">
        <v>86936</v>
      </c>
      <c r="E392" s="144" t="s">
        <v>647</v>
      </c>
      <c r="F392" s="145" t="s">
        <v>251</v>
      </c>
      <c r="G392" s="146">
        <v>1</v>
      </c>
      <c r="H392" s="146"/>
      <c r="I392" s="147">
        <f>ROUND(H392*(1+BDI),2)</f>
        <v>0</v>
      </c>
      <c r="J392" s="147">
        <f>ROUND(G392*I392,2)</f>
        <v>0</v>
      </c>
    </row>
    <row r="393" spans="2:12" s="129" customFormat="1" ht="18" customHeight="1">
      <c r="B393" s="140" t="s">
        <v>929</v>
      </c>
      <c r="C393" s="142" t="s">
        <v>62</v>
      </c>
      <c r="D393" s="142" t="s">
        <v>150</v>
      </c>
      <c r="E393" s="144" t="s">
        <v>648</v>
      </c>
      <c r="F393" s="145" t="s">
        <v>251</v>
      </c>
      <c r="G393" s="146">
        <v>1</v>
      </c>
      <c r="H393" s="146"/>
      <c r="I393" s="147">
        <f>ROUND(H393*(1+BDI),2)</f>
        <v>0</v>
      </c>
      <c r="J393" s="147">
        <f>ROUND(G393*I393,2)</f>
        <v>0</v>
      </c>
    </row>
    <row r="394" spans="2:12" s="129" customFormat="1" ht="18" customHeight="1">
      <c r="B394" s="140" t="s">
        <v>930</v>
      </c>
      <c r="C394" s="142" t="s">
        <v>62</v>
      </c>
      <c r="D394" s="142" t="s">
        <v>126</v>
      </c>
      <c r="E394" s="144" t="s">
        <v>488</v>
      </c>
      <c r="F394" s="145" t="s">
        <v>42</v>
      </c>
      <c r="G394" s="146">
        <f>3*0.6</f>
        <v>1.7999999999999998</v>
      </c>
      <c r="H394" s="146"/>
      <c r="I394" s="147">
        <f>ROUND(H394*(1+BDI),2)</f>
        <v>0</v>
      </c>
      <c r="J394" s="147">
        <f>ROUND(G394*I394,2)</f>
        <v>0</v>
      </c>
    </row>
    <row r="395" spans="2:12" s="129" customFormat="1" ht="18" customHeight="1">
      <c r="B395" s="140" t="s">
        <v>931</v>
      </c>
      <c r="C395" s="142" t="s">
        <v>71</v>
      </c>
      <c r="D395" s="142">
        <v>20231</v>
      </c>
      <c r="E395" s="144" t="s">
        <v>486</v>
      </c>
      <c r="F395" s="145" t="s">
        <v>42</v>
      </c>
      <c r="G395" s="146">
        <v>3</v>
      </c>
      <c r="H395" s="146"/>
      <c r="I395" s="147">
        <f>ROUND(H395*(1+BDI),2)</f>
        <v>0</v>
      </c>
      <c r="J395" s="147">
        <f>ROUND(G395*I395,2)</f>
        <v>0</v>
      </c>
    </row>
    <row r="396" spans="2:12" s="129" customFormat="1" ht="18" customHeight="1">
      <c r="B396" s="72"/>
      <c r="C396" s="72"/>
      <c r="D396" s="72"/>
      <c r="E396" s="73" t="s">
        <v>903</v>
      </c>
      <c r="F396" s="73" t="s">
        <v>45</v>
      </c>
      <c r="G396" s="74"/>
      <c r="H396" s="75"/>
      <c r="I396" s="76"/>
      <c r="J396" s="76">
        <f>SUM(J390:J395)</f>
        <v>0</v>
      </c>
      <c r="L396" s="209"/>
    </row>
    <row r="397" spans="2:12" s="129" customFormat="1" ht="9.75" customHeight="1">
      <c r="B397" s="130"/>
      <c r="C397" s="130"/>
      <c r="D397" s="130"/>
      <c r="E397" s="131"/>
      <c r="F397" s="131"/>
      <c r="G397" s="132"/>
      <c r="H397" s="133"/>
      <c r="I397" s="134"/>
      <c r="J397" s="134"/>
    </row>
    <row r="398" spans="2:12" s="129" customFormat="1" ht="18" customHeight="1">
      <c r="B398" s="72" t="s">
        <v>899</v>
      </c>
      <c r="C398" s="72"/>
      <c r="D398" s="72"/>
      <c r="E398" s="73" t="s">
        <v>454</v>
      </c>
      <c r="F398" s="73" t="s">
        <v>45</v>
      </c>
      <c r="G398" s="74"/>
      <c r="H398" s="75"/>
      <c r="I398" s="76"/>
      <c r="J398" s="76"/>
    </row>
    <row r="399" spans="2:12" s="129" customFormat="1" ht="18" customHeight="1">
      <c r="B399" s="140" t="s">
        <v>932</v>
      </c>
      <c r="C399" s="142" t="s">
        <v>71</v>
      </c>
      <c r="D399" s="143">
        <v>89711</v>
      </c>
      <c r="E399" s="144" t="s">
        <v>456</v>
      </c>
      <c r="F399" s="145" t="s">
        <v>43</v>
      </c>
      <c r="G399" s="146">
        <v>5</v>
      </c>
      <c r="H399" s="146"/>
      <c r="I399" s="147">
        <f>ROUND(H399*(1+BDI),2)</f>
        <v>0</v>
      </c>
      <c r="J399" s="147">
        <f t="shared" ref="J399:J407" si="32">ROUND(G399*I399,2)</f>
        <v>0</v>
      </c>
    </row>
    <row r="400" spans="2:12" s="129" customFormat="1" ht="18" customHeight="1">
      <c r="B400" s="140" t="s">
        <v>933</v>
      </c>
      <c r="C400" s="142" t="s">
        <v>71</v>
      </c>
      <c r="D400" s="143">
        <v>89712</v>
      </c>
      <c r="E400" s="148" t="s">
        <v>458</v>
      </c>
      <c r="F400" s="140" t="s">
        <v>43</v>
      </c>
      <c r="G400" s="146">
        <v>10</v>
      </c>
      <c r="H400" s="146"/>
      <c r="I400" s="147">
        <f>ROUND(H400*(1+BDI),2)</f>
        <v>0</v>
      </c>
      <c r="J400" s="147">
        <f t="shared" si="32"/>
        <v>0</v>
      </c>
    </row>
    <row r="401" spans="2:12" s="129" customFormat="1" ht="18" customHeight="1">
      <c r="B401" s="140" t="s">
        <v>934</v>
      </c>
      <c r="C401" s="142" t="s">
        <v>71</v>
      </c>
      <c r="D401" s="143">
        <v>89713</v>
      </c>
      <c r="E401" s="148" t="s">
        <v>672</v>
      </c>
      <c r="F401" s="140" t="s">
        <v>43</v>
      </c>
      <c r="G401" s="146">
        <v>25</v>
      </c>
      <c r="H401" s="146"/>
      <c r="I401" s="147">
        <f>ROUND(H401*(1+BDI),2)</f>
        <v>0</v>
      </c>
      <c r="J401" s="147">
        <f>ROUND(G401*I401,2)</f>
        <v>0</v>
      </c>
    </row>
    <row r="402" spans="2:12" s="129" customFormat="1" ht="18" customHeight="1">
      <c r="B402" s="140" t="s">
        <v>935</v>
      </c>
      <c r="C402" s="142" t="s">
        <v>71</v>
      </c>
      <c r="D402" s="143">
        <v>89726</v>
      </c>
      <c r="E402" s="148" t="s">
        <v>462</v>
      </c>
      <c r="F402" s="140" t="s">
        <v>251</v>
      </c>
      <c r="G402" s="146">
        <v>2</v>
      </c>
      <c r="H402" s="146"/>
      <c r="I402" s="147">
        <f>ROUND(H402*(1+BDI),2)</f>
        <v>0</v>
      </c>
      <c r="J402" s="147">
        <f t="shared" si="32"/>
        <v>0</v>
      </c>
    </row>
    <row r="403" spans="2:12" s="129" customFormat="1" ht="18" customHeight="1">
      <c r="B403" s="140" t="s">
        <v>936</v>
      </c>
      <c r="C403" s="142" t="s">
        <v>71</v>
      </c>
      <c r="D403" s="143">
        <v>89732</v>
      </c>
      <c r="E403" s="148" t="s">
        <v>464</v>
      </c>
      <c r="F403" s="140" t="s">
        <v>251</v>
      </c>
      <c r="G403" s="146">
        <v>3</v>
      </c>
      <c r="H403" s="146"/>
      <c r="I403" s="147">
        <f>ROUND(H403*(1+BDI),2)</f>
        <v>0</v>
      </c>
      <c r="J403" s="147">
        <f t="shared" si="32"/>
        <v>0</v>
      </c>
    </row>
    <row r="404" spans="2:12" s="129" customFormat="1" ht="18" customHeight="1">
      <c r="B404" s="140" t="s">
        <v>937</v>
      </c>
      <c r="C404" s="142" t="s">
        <v>71</v>
      </c>
      <c r="D404" s="143">
        <v>89806</v>
      </c>
      <c r="E404" s="148" t="s">
        <v>673</v>
      </c>
      <c r="F404" s="140" t="s">
        <v>251</v>
      </c>
      <c r="G404" s="146">
        <v>5</v>
      </c>
      <c r="H404" s="146"/>
      <c r="I404" s="147">
        <f>ROUND(H404*(1+BDI),2)</f>
        <v>0</v>
      </c>
      <c r="J404" s="147">
        <f t="shared" si="32"/>
        <v>0</v>
      </c>
    </row>
    <row r="405" spans="2:12" s="129" customFormat="1" ht="18" customHeight="1">
      <c r="B405" s="140" t="s">
        <v>938</v>
      </c>
      <c r="C405" s="142" t="s">
        <v>71</v>
      </c>
      <c r="D405" s="143">
        <v>89724</v>
      </c>
      <c r="E405" s="148" t="s">
        <v>468</v>
      </c>
      <c r="F405" s="140" t="s">
        <v>251</v>
      </c>
      <c r="G405" s="146">
        <v>1</v>
      </c>
      <c r="H405" s="146"/>
      <c r="I405" s="147">
        <f>ROUND(H405*(1+BDI),2)</f>
        <v>0</v>
      </c>
      <c r="J405" s="147">
        <f t="shared" si="32"/>
        <v>0</v>
      </c>
    </row>
    <row r="406" spans="2:12" s="129" customFormat="1" ht="18" customHeight="1">
      <c r="B406" s="140" t="s">
        <v>939</v>
      </c>
      <c r="C406" s="142" t="s">
        <v>71</v>
      </c>
      <c r="D406" s="143">
        <v>89731</v>
      </c>
      <c r="E406" s="148" t="s">
        <v>671</v>
      </c>
      <c r="F406" s="140" t="s">
        <v>251</v>
      </c>
      <c r="G406" s="146">
        <v>1</v>
      </c>
      <c r="H406" s="146"/>
      <c r="I406" s="147">
        <f>ROUND(H406*(1+BDI),2)</f>
        <v>0</v>
      </c>
      <c r="J406" s="147">
        <f t="shared" si="32"/>
        <v>0</v>
      </c>
    </row>
    <row r="407" spans="2:12" s="129" customFormat="1" ht="18" customHeight="1">
      <c r="B407" s="140" t="s">
        <v>940</v>
      </c>
      <c r="C407" s="142" t="s">
        <v>71</v>
      </c>
      <c r="D407" s="143">
        <v>98110</v>
      </c>
      <c r="E407" s="148" t="s">
        <v>674</v>
      </c>
      <c r="F407" s="140" t="s">
        <v>72</v>
      </c>
      <c r="G407" s="146">
        <v>1</v>
      </c>
      <c r="H407" s="146"/>
      <c r="I407" s="147">
        <f>ROUND(H407*(1+BDI),2)</f>
        <v>0</v>
      </c>
      <c r="J407" s="147">
        <f t="shared" si="32"/>
        <v>0</v>
      </c>
    </row>
    <row r="408" spans="2:12" s="129" customFormat="1" ht="18" customHeight="1">
      <c r="B408" s="72"/>
      <c r="C408" s="72"/>
      <c r="D408" s="72"/>
      <c r="E408" s="73" t="s">
        <v>902</v>
      </c>
      <c r="F408" s="73" t="s">
        <v>45</v>
      </c>
      <c r="G408" s="74"/>
      <c r="H408" s="75"/>
      <c r="I408" s="76"/>
      <c r="J408" s="76">
        <f>SUM(J399:J407)</f>
        <v>0</v>
      </c>
      <c r="L408" s="209"/>
    </row>
    <row r="409" spans="2:12" s="129" customFormat="1" ht="10.5" customHeight="1">
      <c r="B409" s="130"/>
      <c r="C409" s="130"/>
      <c r="D409" s="130"/>
      <c r="E409" s="131"/>
      <c r="F409" s="131"/>
      <c r="G409" s="132"/>
      <c r="H409" s="133"/>
      <c r="I409" s="134"/>
      <c r="J409" s="134"/>
    </row>
    <row r="410" spans="2:12" s="129" customFormat="1" ht="18" customHeight="1">
      <c r="B410" s="72" t="s">
        <v>900</v>
      </c>
      <c r="C410" s="72"/>
      <c r="D410" s="72"/>
      <c r="E410" s="73" t="s">
        <v>67</v>
      </c>
      <c r="F410" s="73" t="s">
        <v>45</v>
      </c>
      <c r="G410" s="74"/>
      <c r="H410" s="75"/>
      <c r="I410" s="76"/>
      <c r="J410" s="76"/>
    </row>
    <row r="411" spans="2:12" s="129" customFormat="1" ht="18" customHeight="1">
      <c r="B411" s="140" t="s">
        <v>941</v>
      </c>
      <c r="C411" s="142" t="s">
        <v>71</v>
      </c>
      <c r="D411" s="142">
        <v>95781</v>
      </c>
      <c r="E411" s="144" t="s">
        <v>303</v>
      </c>
      <c r="F411" s="145" t="s">
        <v>251</v>
      </c>
      <c r="G411" s="146">
        <v>10</v>
      </c>
      <c r="H411" s="146"/>
      <c r="I411" s="147">
        <f>ROUND(H411*(1+BDI),2)</f>
        <v>0</v>
      </c>
      <c r="J411" s="147">
        <f>ROUND(G411*I411,2)</f>
        <v>0</v>
      </c>
    </row>
    <row r="412" spans="2:12" s="129" customFormat="1" ht="18" customHeight="1">
      <c r="B412" s="140" t="s">
        <v>942</v>
      </c>
      <c r="C412" s="142" t="s">
        <v>71</v>
      </c>
      <c r="D412" s="142">
        <v>95781</v>
      </c>
      <c r="E412" s="144" t="s">
        <v>563</v>
      </c>
      <c r="F412" s="145" t="s">
        <v>251</v>
      </c>
      <c r="G412" s="146">
        <v>18</v>
      </c>
      <c r="H412" s="146"/>
      <c r="I412" s="147">
        <f>ROUND(H412*(1+BDI),2)</f>
        <v>0</v>
      </c>
      <c r="J412" s="147">
        <f>ROUND(G412*I412,2)</f>
        <v>0</v>
      </c>
    </row>
    <row r="413" spans="2:12" s="129" customFormat="1" ht="18" customHeight="1">
      <c r="B413" s="140" t="s">
        <v>943</v>
      </c>
      <c r="C413" s="142" t="s">
        <v>71</v>
      </c>
      <c r="D413" s="142">
        <v>91925</v>
      </c>
      <c r="E413" s="144" t="s">
        <v>1136</v>
      </c>
      <c r="F413" s="145" t="s">
        <v>43</v>
      </c>
      <c r="G413" s="146">
        <v>80</v>
      </c>
      <c r="H413" s="146"/>
      <c r="I413" s="147">
        <f>ROUND(H413*(1+BDI),2)</f>
        <v>0</v>
      </c>
      <c r="J413" s="147">
        <f t="shared" ref="J413" si="33">ROUND(G413*I413,2)</f>
        <v>0</v>
      </c>
    </row>
    <row r="414" spans="2:12" s="129" customFormat="1" ht="18" customHeight="1">
      <c r="B414" s="140" t="s">
        <v>944</v>
      </c>
      <c r="C414" s="142" t="s">
        <v>71</v>
      </c>
      <c r="D414" s="142">
        <v>91927</v>
      </c>
      <c r="E414" s="144" t="s">
        <v>1137</v>
      </c>
      <c r="F414" s="145" t="s">
        <v>43</v>
      </c>
      <c r="G414" s="146">
        <v>65</v>
      </c>
      <c r="H414" s="146"/>
      <c r="I414" s="147">
        <f>ROUND(H414*(1+BDI),2)</f>
        <v>0</v>
      </c>
      <c r="J414" s="147">
        <f>ROUND(G414*I414,2)</f>
        <v>0</v>
      </c>
    </row>
    <row r="415" spans="2:12" s="129" customFormat="1" ht="18" customHeight="1">
      <c r="B415" s="140" t="s">
        <v>945</v>
      </c>
      <c r="C415" s="142" t="s">
        <v>71</v>
      </c>
      <c r="D415" s="142">
        <v>91953</v>
      </c>
      <c r="E415" s="144" t="s">
        <v>100</v>
      </c>
      <c r="F415" s="145" t="s">
        <v>251</v>
      </c>
      <c r="G415" s="146">
        <v>2</v>
      </c>
      <c r="H415" s="146"/>
      <c r="I415" s="147">
        <f>ROUND(H415*(1+BDI),2)</f>
        <v>0</v>
      </c>
      <c r="J415" s="147">
        <f t="shared" ref="J415:J418" si="34">ROUND(G415*I415,2)</f>
        <v>0</v>
      </c>
    </row>
    <row r="416" spans="2:12" s="129" customFormat="1" ht="18" customHeight="1">
      <c r="B416" s="140" t="s">
        <v>946</v>
      </c>
      <c r="C416" s="142" t="s">
        <v>71</v>
      </c>
      <c r="D416" s="142">
        <v>91973</v>
      </c>
      <c r="E416" s="144" t="s">
        <v>675</v>
      </c>
      <c r="F416" s="145" t="s">
        <v>251</v>
      </c>
      <c r="G416" s="146">
        <v>2</v>
      </c>
      <c r="H416" s="146"/>
      <c r="I416" s="147">
        <f>ROUND(H416*(1+BDI),2)</f>
        <v>0</v>
      </c>
      <c r="J416" s="147">
        <f t="shared" si="34"/>
        <v>0</v>
      </c>
    </row>
    <row r="417" spans="2:12" s="129" customFormat="1" ht="18" customHeight="1">
      <c r="B417" s="140" t="s">
        <v>947</v>
      </c>
      <c r="C417" s="142" t="s">
        <v>71</v>
      </c>
      <c r="D417" s="142">
        <v>92000</v>
      </c>
      <c r="E417" s="144" t="s">
        <v>564</v>
      </c>
      <c r="F417" s="145" t="s">
        <v>251</v>
      </c>
      <c r="G417" s="146">
        <v>2</v>
      </c>
      <c r="H417" s="146"/>
      <c r="I417" s="147">
        <f>ROUND(H417*(1+BDI),2)</f>
        <v>0</v>
      </c>
      <c r="J417" s="147">
        <f t="shared" si="34"/>
        <v>0</v>
      </c>
    </row>
    <row r="418" spans="2:12" s="129" customFormat="1" ht="18" customHeight="1">
      <c r="B418" s="140" t="s">
        <v>948</v>
      </c>
      <c r="C418" s="142" t="s">
        <v>71</v>
      </c>
      <c r="D418" s="142">
        <v>92008</v>
      </c>
      <c r="E418" s="144" t="s">
        <v>544</v>
      </c>
      <c r="F418" s="145" t="s">
        <v>251</v>
      </c>
      <c r="G418" s="146">
        <v>1</v>
      </c>
      <c r="H418" s="146"/>
      <c r="I418" s="147">
        <f>ROUND(H418*(1+BDI),2)</f>
        <v>0</v>
      </c>
      <c r="J418" s="147">
        <f t="shared" si="34"/>
        <v>0</v>
      </c>
    </row>
    <row r="419" spans="2:12" s="129" customFormat="1" ht="18" customHeight="1">
      <c r="B419" s="140" t="s">
        <v>949</v>
      </c>
      <c r="C419" s="142" t="s">
        <v>71</v>
      </c>
      <c r="D419" s="142">
        <v>92004</v>
      </c>
      <c r="E419" s="144" t="s">
        <v>101</v>
      </c>
      <c r="F419" s="145" t="s">
        <v>251</v>
      </c>
      <c r="G419" s="146">
        <v>2</v>
      </c>
      <c r="H419" s="146"/>
      <c r="I419" s="147">
        <f>ROUND(H419*(1+BDI),2)</f>
        <v>0</v>
      </c>
      <c r="J419" s="147">
        <f>ROUND(G419*I419,2)</f>
        <v>0</v>
      </c>
    </row>
    <row r="420" spans="2:12" s="129" customFormat="1" ht="18" customHeight="1">
      <c r="B420" s="140" t="s">
        <v>950</v>
      </c>
      <c r="C420" s="142" t="s">
        <v>71</v>
      </c>
      <c r="D420" s="142">
        <v>91996</v>
      </c>
      <c r="E420" s="144" t="s">
        <v>547</v>
      </c>
      <c r="F420" s="145" t="s">
        <v>251</v>
      </c>
      <c r="G420" s="146">
        <v>7</v>
      </c>
      <c r="H420" s="146"/>
      <c r="I420" s="147">
        <f>ROUND(H420*(1+BDI),2)</f>
        <v>0</v>
      </c>
      <c r="J420" s="147">
        <f t="shared" ref="J420" si="35">ROUND(G420*I420,2)</f>
        <v>0</v>
      </c>
    </row>
    <row r="421" spans="2:12" s="129" customFormat="1" ht="18" customHeight="1">
      <c r="B421" s="140" t="s">
        <v>951</v>
      </c>
      <c r="C421" s="142" t="s">
        <v>71</v>
      </c>
      <c r="D421" s="142">
        <v>91993</v>
      </c>
      <c r="E421" s="144" t="s">
        <v>545</v>
      </c>
      <c r="F421" s="145" t="s">
        <v>251</v>
      </c>
      <c r="G421" s="146">
        <v>2</v>
      </c>
      <c r="H421" s="146"/>
      <c r="I421" s="147">
        <f>ROUND(H421*(1+BDI),2)</f>
        <v>0</v>
      </c>
      <c r="J421" s="147">
        <f>ROUND(G421*I421,2)</f>
        <v>0</v>
      </c>
    </row>
    <row r="422" spans="2:12" s="129" customFormat="1" ht="18" customHeight="1">
      <c r="B422" s="140" t="s">
        <v>952</v>
      </c>
      <c r="C422" s="142" t="s">
        <v>170</v>
      </c>
      <c r="D422" s="142" t="s">
        <v>280</v>
      </c>
      <c r="E422" s="144" t="s">
        <v>279</v>
      </c>
      <c r="F422" s="145" t="s">
        <v>43</v>
      </c>
      <c r="G422" s="146">
        <v>50</v>
      </c>
      <c r="H422" s="146"/>
      <c r="I422" s="147">
        <f>ROUND(H422*(1+BDI),2)</f>
        <v>0</v>
      </c>
      <c r="J422" s="147">
        <f>ROUND(G422*I422,2)</f>
        <v>0</v>
      </c>
    </row>
    <row r="423" spans="2:12" s="129" customFormat="1" ht="18" customHeight="1">
      <c r="B423" s="140" t="s">
        <v>953</v>
      </c>
      <c r="C423" s="142" t="s">
        <v>170</v>
      </c>
      <c r="D423" s="142" t="s">
        <v>539</v>
      </c>
      <c r="E423" s="144" t="s">
        <v>876</v>
      </c>
      <c r="F423" s="145" t="s">
        <v>251</v>
      </c>
      <c r="G423" s="146">
        <v>10</v>
      </c>
      <c r="H423" s="146"/>
      <c r="I423" s="147">
        <f>ROUND(H423*(1+BDI),2)</f>
        <v>0</v>
      </c>
      <c r="J423" s="147">
        <f>ROUND(G423*I423,2)</f>
        <v>0</v>
      </c>
    </row>
    <row r="424" spans="2:12" s="129" customFormat="1" ht="18" customHeight="1">
      <c r="B424" s="72"/>
      <c r="C424" s="72"/>
      <c r="D424" s="72"/>
      <c r="E424" s="73" t="s">
        <v>901</v>
      </c>
      <c r="F424" s="73" t="s">
        <v>45</v>
      </c>
      <c r="G424" s="74"/>
      <c r="H424" s="75"/>
      <c r="I424" s="76"/>
      <c r="J424" s="76">
        <f>SUM(J411:J423)</f>
        <v>0</v>
      </c>
      <c r="L424" s="209"/>
    </row>
    <row r="425" spans="2:12" s="129" customFormat="1" ht="10.5" customHeight="1">
      <c r="B425" s="130"/>
      <c r="C425" s="130"/>
      <c r="D425" s="130"/>
      <c r="E425" s="131"/>
      <c r="F425" s="131"/>
      <c r="G425" s="132"/>
      <c r="H425" s="133"/>
      <c r="I425" s="134"/>
      <c r="J425" s="134"/>
    </row>
    <row r="426" spans="2:12" s="129" customFormat="1" ht="18" customHeight="1">
      <c r="B426" s="335" t="s">
        <v>380</v>
      </c>
      <c r="C426" s="335"/>
      <c r="D426" s="335"/>
      <c r="E426" s="335"/>
      <c r="F426" s="335"/>
      <c r="G426" s="335"/>
      <c r="H426" s="335"/>
      <c r="I426" s="335"/>
      <c r="J426" s="169">
        <f>J424+J408+J396+J387+J364+J359+J353+J378+J371</f>
        <v>0</v>
      </c>
    </row>
    <row r="427" spans="2:12" s="129" customFormat="1" ht="9.75" customHeight="1">
      <c r="B427" s="175"/>
      <c r="C427" s="175"/>
      <c r="D427" s="175"/>
      <c r="E427" s="176"/>
      <c r="F427" s="176"/>
      <c r="G427" s="177"/>
      <c r="H427" s="178"/>
      <c r="I427" s="178"/>
      <c r="J427" s="179"/>
    </row>
    <row r="428" spans="2:12" s="22" customFormat="1" ht="18" customHeight="1">
      <c r="B428" s="336" t="s">
        <v>291</v>
      </c>
      <c r="C428" s="337"/>
      <c r="D428" s="337"/>
      <c r="E428" s="337"/>
      <c r="F428" s="337"/>
      <c r="G428" s="337"/>
      <c r="H428" s="337"/>
      <c r="I428" s="338"/>
      <c r="J428" s="207">
        <f>J426+J343+J277</f>
        <v>0</v>
      </c>
    </row>
    <row r="429" spans="2:12" s="22" customFormat="1" ht="9" customHeight="1">
      <c r="B429" s="170"/>
      <c r="C429" s="170"/>
      <c r="D429" s="170"/>
      <c r="E429" s="171"/>
      <c r="F429" s="171"/>
      <c r="G429" s="172"/>
      <c r="H429" s="173"/>
      <c r="I429" s="173"/>
      <c r="J429" s="174"/>
    </row>
    <row r="430" spans="2:12" s="22" customFormat="1" ht="18" customHeight="1">
      <c r="B430" s="314" t="s">
        <v>383</v>
      </c>
      <c r="C430" s="315"/>
      <c r="D430" s="315"/>
      <c r="E430" s="315"/>
      <c r="F430" s="315"/>
      <c r="G430" s="315"/>
      <c r="H430" s="315"/>
      <c r="I430" s="315"/>
      <c r="J430" s="316"/>
    </row>
    <row r="431" spans="2:12" s="22" customFormat="1" ht="18" customHeight="1">
      <c r="B431" s="72" t="s">
        <v>804</v>
      </c>
      <c r="C431" s="72"/>
      <c r="D431" s="72"/>
      <c r="E431" s="73" t="s">
        <v>89</v>
      </c>
      <c r="F431" s="73" t="s">
        <v>45</v>
      </c>
      <c r="G431" s="74"/>
      <c r="H431" s="75"/>
      <c r="I431" s="76"/>
      <c r="J431" s="76"/>
    </row>
    <row r="432" spans="2:12" s="22" customFormat="1" ht="18" customHeight="1">
      <c r="B432" s="140" t="s">
        <v>856</v>
      </c>
      <c r="C432" s="140" t="s">
        <v>71</v>
      </c>
      <c r="D432" s="140">
        <v>97633</v>
      </c>
      <c r="E432" s="148" t="s">
        <v>353</v>
      </c>
      <c r="F432" s="140" t="s">
        <v>42</v>
      </c>
      <c r="G432" s="161">
        <f>'PLANILHA CÁLCULO'!AL17</f>
        <v>29.07</v>
      </c>
      <c r="H432" s="146"/>
      <c r="I432" s="147">
        <f>ROUND(H432*(1+BDI),2)</f>
        <v>0</v>
      </c>
      <c r="J432" s="147">
        <f t="shared" ref="J432:J435" si="36">ROUND(G432*I432,2)</f>
        <v>0</v>
      </c>
    </row>
    <row r="433" spans="2:13" s="22" customFormat="1" ht="18" customHeight="1">
      <c r="B433" s="140" t="s">
        <v>857</v>
      </c>
      <c r="C433" s="140" t="s">
        <v>71</v>
      </c>
      <c r="D433" s="140">
        <v>97632</v>
      </c>
      <c r="E433" s="148" t="s">
        <v>354</v>
      </c>
      <c r="F433" s="140" t="s">
        <v>43</v>
      </c>
      <c r="G433" s="161">
        <f>2.95+2.95</f>
        <v>5.9</v>
      </c>
      <c r="H433" s="146"/>
      <c r="I433" s="147">
        <f>ROUND(H433*(1+BDI),2)</f>
        <v>0</v>
      </c>
      <c r="J433" s="147">
        <f t="shared" si="36"/>
        <v>0</v>
      </c>
    </row>
    <row r="434" spans="2:13" s="129" customFormat="1" ht="18" customHeight="1">
      <c r="B434" s="140" t="s">
        <v>991</v>
      </c>
      <c r="C434" s="142" t="s">
        <v>71</v>
      </c>
      <c r="D434" s="142">
        <v>97660</v>
      </c>
      <c r="E434" s="148" t="s">
        <v>305</v>
      </c>
      <c r="F434" s="140" t="s">
        <v>72</v>
      </c>
      <c r="G434" s="161">
        <v>6</v>
      </c>
      <c r="H434" s="146"/>
      <c r="I434" s="147">
        <f>ROUND(H434*(1+BDI),2)</f>
        <v>0</v>
      </c>
      <c r="J434" s="147">
        <f t="shared" si="36"/>
        <v>0</v>
      </c>
    </row>
    <row r="435" spans="2:13" s="129" customFormat="1" ht="18" customHeight="1">
      <c r="B435" s="140" t="s">
        <v>992</v>
      </c>
      <c r="C435" s="142" t="s">
        <v>71</v>
      </c>
      <c r="D435" s="142">
        <v>97665</v>
      </c>
      <c r="E435" s="148" t="s">
        <v>306</v>
      </c>
      <c r="F435" s="140" t="s">
        <v>72</v>
      </c>
      <c r="G435" s="161">
        <v>6</v>
      </c>
      <c r="H435" s="146"/>
      <c r="I435" s="147">
        <f>ROUND(H435*(1+BDI),2)</f>
        <v>0</v>
      </c>
      <c r="J435" s="147">
        <f t="shared" si="36"/>
        <v>0</v>
      </c>
    </row>
    <row r="436" spans="2:13" s="129" customFormat="1" ht="18" customHeight="1">
      <c r="B436" s="140" t="s">
        <v>993</v>
      </c>
      <c r="C436" s="142" t="s">
        <v>71</v>
      </c>
      <c r="D436" s="142">
        <v>97622</v>
      </c>
      <c r="E436" s="148" t="s">
        <v>386</v>
      </c>
      <c r="F436" s="140" t="s">
        <v>44</v>
      </c>
      <c r="G436" s="161">
        <f>2.95*3*0.15</f>
        <v>1.3275000000000001</v>
      </c>
      <c r="H436" s="146"/>
      <c r="I436" s="147">
        <f>ROUND(H436*(1+BDI),2)</f>
        <v>0</v>
      </c>
      <c r="J436" s="147">
        <f>ROUND(G436*I436,2)</f>
        <v>0</v>
      </c>
    </row>
    <row r="437" spans="2:13" s="129" customFormat="1" ht="18" customHeight="1">
      <c r="B437" s="140" t="s">
        <v>994</v>
      </c>
      <c r="C437" s="142" t="s">
        <v>71</v>
      </c>
      <c r="D437" s="142">
        <v>97644</v>
      </c>
      <c r="E437" s="148" t="s">
        <v>108</v>
      </c>
      <c r="F437" s="140" t="s">
        <v>42</v>
      </c>
      <c r="G437" s="161">
        <f>0.8*2.1*2</f>
        <v>3.3600000000000003</v>
      </c>
      <c r="H437" s="146"/>
      <c r="I437" s="147">
        <f>ROUND(H437*(1+BDI),2)</f>
        <v>0</v>
      </c>
      <c r="J437" s="147">
        <f>ROUND(G437*I437,2)</f>
        <v>0</v>
      </c>
    </row>
    <row r="438" spans="2:13" s="129" customFormat="1" ht="18" customHeight="1">
      <c r="B438" s="140" t="s">
        <v>995</v>
      </c>
      <c r="C438" s="142" t="s">
        <v>71</v>
      </c>
      <c r="D438" s="142">
        <v>97645</v>
      </c>
      <c r="E438" s="148" t="s">
        <v>860</v>
      </c>
      <c r="F438" s="140" t="s">
        <v>42</v>
      </c>
      <c r="G438" s="161">
        <f>1.5*1</f>
        <v>1.5</v>
      </c>
      <c r="H438" s="146"/>
      <c r="I438" s="147">
        <f>ROUND(H438*(1+BDI),2)</f>
        <v>0</v>
      </c>
      <c r="J438" s="147">
        <f>ROUND(G438*I438,2)</f>
        <v>0</v>
      </c>
    </row>
    <row r="439" spans="2:13" s="129" customFormat="1" ht="18" customHeight="1">
      <c r="B439" s="72"/>
      <c r="C439" s="72"/>
      <c r="D439" s="72"/>
      <c r="E439" s="73" t="s">
        <v>954</v>
      </c>
      <c r="F439" s="73" t="s">
        <v>45</v>
      </c>
      <c r="G439" s="74"/>
      <c r="H439" s="75"/>
      <c r="I439" s="76"/>
      <c r="J439" s="76">
        <f>SUM(J432:J438)</f>
        <v>0</v>
      </c>
      <c r="L439" s="209"/>
    </row>
    <row r="440" spans="2:13" s="129" customFormat="1" ht="9.75" customHeight="1">
      <c r="B440" s="130"/>
      <c r="C440" s="130"/>
      <c r="D440" s="130"/>
      <c r="E440" s="131"/>
      <c r="F440" s="131"/>
      <c r="G440" s="132"/>
      <c r="H440" s="133"/>
      <c r="I440" s="134"/>
      <c r="J440" s="134"/>
    </row>
    <row r="441" spans="2:13" s="129" customFormat="1" ht="18" customHeight="1">
      <c r="B441" s="72" t="s">
        <v>806</v>
      </c>
      <c r="C441" s="72"/>
      <c r="D441" s="72"/>
      <c r="E441" s="73" t="s">
        <v>123</v>
      </c>
      <c r="F441" s="73" t="s">
        <v>45</v>
      </c>
      <c r="G441" s="74"/>
      <c r="H441" s="75"/>
      <c r="I441" s="76"/>
      <c r="J441" s="76"/>
    </row>
    <row r="442" spans="2:13" s="129" customFormat="1" ht="18" customHeight="1">
      <c r="B442" s="140" t="s">
        <v>988</v>
      </c>
      <c r="C442" s="142" t="s">
        <v>170</v>
      </c>
      <c r="D442" s="159" t="s">
        <v>437</v>
      </c>
      <c r="E442" s="144" t="s">
        <v>872</v>
      </c>
      <c r="F442" s="145" t="s">
        <v>43</v>
      </c>
      <c r="G442" s="146">
        <f>2.95</f>
        <v>2.95</v>
      </c>
      <c r="H442" s="146"/>
      <c r="I442" s="147">
        <f>ROUND(H442*(1+BDI),2)</f>
        <v>0</v>
      </c>
      <c r="J442" s="147">
        <f>ROUND(G442*I442,2)</f>
        <v>0</v>
      </c>
    </row>
    <row r="443" spans="2:13" s="129" customFormat="1" ht="30.75" customHeight="1">
      <c r="B443" s="140" t="s">
        <v>989</v>
      </c>
      <c r="C443" s="140" t="s">
        <v>71</v>
      </c>
      <c r="D443" s="140">
        <v>87261</v>
      </c>
      <c r="E443" s="141" t="s">
        <v>873</v>
      </c>
      <c r="F443" s="140" t="s">
        <v>42</v>
      </c>
      <c r="G443" s="146">
        <v>3</v>
      </c>
      <c r="H443" s="146"/>
      <c r="I443" s="147">
        <f>ROUND(H443*(1+BDI),2)</f>
        <v>0</v>
      </c>
      <c r="J443" s="147">
        <f>ROUND(G443*I443,2)</f>
        <v>0</v>
      </c>
    </row>
    <row r="444" spans="2:13" s="129" customFormat="1" ht="18" customHeight="1">
      <c r="B444" s="140" t="s">
        <v>990</v>
      </c>
      <c r="C444" s="142" t="s">
        <v>71</v>
      </c>
      <c r="D444" s="159" t="s">
        <v>359</v>
      </c>
      <c r="E444" s="144" t="s">
        <v>358</v>
      </c>
      <c r="F444" s="145" t="s">
        <v>43</v>
      </c>
      <c r="G444" s="146">
        <v>3</v>
      </c>
      <c r="H444" s="146"/>
      <c r="I444" s="147">
        <f>ROUND(H444*(1+BDI),2)</f>
        <v>0</v>
      </c>
      <c r="J444" s="147">
        <f>ROUND(G444*I444,2)</f>
        <v>0</v>
      </c>
    </row>
    <row r="445" spans="2:13" s="129" customFormat="1" ht="18" customHeight="1">
      <c r="B445" s="72"/>
      <c r="C445" s="72"/>
      <c r="D445" s="72"/>
      <c r="E445" s="73" t="s">
        <v>955</v>
      </c>
      <c r="F445" s="73" t="s">
        <v>45</v>
      </c>
      <c r="G445" s="74"/>
      <c r="H445" s="75"/>
      <c r="I445" s="76"/>
      <c r="J445" s="76">
        <f>SUM(J442:J444)</f>
        <v>0</v>
      </c>
      <c r="M445" s="208"/>
    </row>
    <row r="446" spans="2:13" s="129" customFormat="1" ht="9" customHeight="1">
      <c r="B446" s="130"/>
      <c r="C446" s="130"/>
      <c r="D446" s="130"/>
      <c r="E446" s="131"/>
      <c r="F446" s="131"/>
      <c r="G446" s="132"/>
      <c r="H446" s="133"/>
      <c r="I446" s="134"/>
      <c r="J446" s="134"/>
    </row>
    <row r="447" spans="2:13" s="129" customFormat="1" ht="18" customHeight="1">
      <c r="B447" s="72" t="s">
        <v>808</v>
      </c>
      <c r="C447" s="72"/>
      <c r="D447" s="72"/>
      <c r="E447" s="73" t="s">
        <v>391</v>
      </c>
      <c r="F447" s="73" t="s">
        <v>45</v>
      </c>
      <c r="G447" s="74"/>
      <c r="H447" s="75"/>
      <c r="I447" s="76"/>
      <c r="J447" s="76"/>
    </row>
    <row r="448" spans="2:13" s="129" customFormat="1" ht="18" customHeight="1">
      <c r="B448" s="140" t="s">
        <v>987</v>
      </c>
      <c r="C448" s="142" t="s">
        <v>71</v>
      </c>
      <c r="D448" s="159" t="s">
        <v>416</v>
      </c>
      <c r="E448" s="144" t="s">
        <v>415</v>
      </c>
      <c r="F448" s="145" t="s">
        <v>42</v>
      </c>
      <c r="G448" s="146">
        <f>(0.8*2.1)+(1.5*1)</f>
        <v>3.18</v>
      </c>
      <c r="H448" s="146"/>
      <c r="I448" s="147">
        <f>ROUND(H448*(1+BDI),2)</f>
        <v>0</v>
      </c>
      <c r="J448" s="147">
        <f>ROUND(G448*I448,2)</f>
        <v>0</v>
      </c>
    </row>
    <row r="449" spans="2:14" s="129" customFormat="1" ht="18" customHeight="1">
      <c r="B449" s="72"/>
      <c r="C449" s="72"/>
      <c r="D449" s="72"/>
      <c r="E449" s="73" t="s">
        <v>956</v>
      </c>
      <c r="F449" s="73" t="s">
        <v>45</v>
      </c>
      <c r="G449" s="74"/>
      <c r="H449" s="75"/>
      <c r="I449" s="76"/>
      <c r="J449" s="76">
        <f>SUM(J448:J448)</f>
        <v>0</v>
      </c>
      <c r="M449" s="209"/>
    </row>
    <row r="450" spans="2:14" s="129" customFormat="1" ht="9" customHeight="1">
      <c r="B450" s="130"/>
      <c r="C450" s="130"/>
      <c r="D450" s="130"/>
      <c r="E450" s="131"/>
      <c r="F450" s="131"/>
      <c r="G450" s="132"/>
      <c r="H450" s="133"/>
      <c r="I450" s="134"/>
      <c r="J450" s="134"/>
    </row>
    <row r="451" spans="2:14" s="129" customFormat="1" ht="18" customHeight="1">
      <c r="B451" s="72" t="s">
        <v>810</v>
      </c>
      <c r="C451" s="72"/>
      <c r="D451" s="72"/>
      <c r="E451" s="73" t="s">
        <v>411</v>
      </c>
      <c r="F451" s="73" t="s">
        <v>45</v>
      </c>
      <c r="G451" s="74"/>
      <c r="H451" s="75"/>
      <c r="I451" s="76"/>
      <c r="J451" s="76"/>
    </row>
    <row r="452" spans="2:14" s="129" customFormat="1" ht="18" customHeight="1">
      <c r="B452" s="140" t="s">
        <v>984</v>
      </c>
      <c r="C452" s="140" t="s">
        <v>170</v>
      </c>
      <c r="D452" s="140" t="s">
        <v>1132</v>
      </c>
      <c r="E452" s="141" t="s">
        <v>414</v>
      </c>
      <c r="F452" s="140" t="s">
        <v>251</v>
      </c>
      <c r="G452" s="146">
        <v>20</v>
      </c>
      <c r="H452" s="146"/>
      <c r="I452" s="146">
        <f>ROUND(H452*(1+BDI),2)</f>
        <v>0</v>
      </c>
      <c r="J452" s="146">
        <f>ROUND(G452*I452,2)</f>
        <v>0</v>
      </c>
    </row>
    <row r="453" spans="2:14" s="129" customFormat="1" ht="18" customHeight="1">
      <c r="B453" s="140" t="s">
        <v>985</v>
      </c>
      <c r="C453" s="142" t="s">
        <v>71</v>
      </c>
      <c r="D453" s="143" t="s">
        <v>412</v>
      </c>
      <c r="E453" s="148" t="s">
        <v>413</v>
      </c>
      <c r="F453" s="140" t="s">
        <v>42</v>
      </c>
      <c r="G453" s="146">
        <f>G448*2</f>
        <v>6.36</v>
      </c>
      <c r="H453" s="146"/>
      <c r="I453" s="147">
        <f>ROUND(H453*(1+BDI),2)</f>
        <v>0</v>
      </c>
      <c r="J453" s="147">
        <f>ROUND(G453*I453,2)</f>
        <v>0</v>
      </c>
    </row>
    <row r="454" spans="2:14" s="129" customFormat="1" ht="28.5" customHeight="1">
      <c r="B454" s="140" t="s">
        <v>986</v>
      </c>
      <c r="C454" s="140" t="s">
        <v>71</v>
      </c>
      <c r="D454" s="140">
        <v>87529</v>
      </c>
      <c r="E454" s="141" t="s">
        <v>417</v>
      </c>
      <c r="F454" s="140" t="s">
        <v>42</v>
      </c>
      <c r="G454" s="146">
        <f>G453</f>
        <v>6.36</v>
      </c>
      <c r="H454" s="146"/>
      <c r="I454" s="147">
        <f>ROUND(H454*(1+BDI),2)</f>
        <v>0</v>
      </c>
      <c r="J454" s="147">
        <f>ROUND(G454*I454,2)</f>
        <v>0</v>
      </c>
    </row>
    <row r="455" spans="2:14" s="129" customFormat="1" ht="18" customHeight="1">
      <c r="B455" s="72"/>
      <c r="C455" s="72"/>
      <c r="D455" s="72"/>
      <c r="E455" s="73" t="s">
        <v>996</v>
      </c>
      <c r="F455" s="73" t="s">
        <v>45</v>
      </c>
      <c r="G455" s="74"/>
      <c r="H455" s="75"/>
      <c r="I455" s="76"/>
      <c r="J455" s="76">
        <f>SUM(J452:J454)</f>
        <v>0</v>
      </c>
      <c r="N455" s="209"/>
    </row>
    <row r="456" spans="2:14" s="129" customFormat="1" ht="10.5" customHeight="1">
      <c r="B456" s="130"/>
      <c r="C456" s="130"/>
      <c r="D456" s="130"/>
      <c r="E456" s="131"/>
      <c r="F456" s="131"/>
      <c r="G456" s="132"/>
      <c r="H456" s="133"/>
      <c r="I456" s="134"/>
      <c r="J456" s="134"/>
    </row>
    <row r="457" spans="2:14" s="129" customFormat="1" ht="18" customHeight="1">
      <c r="B457" s="72" t="s">
        <v>812</v>
      </c>
      <c r="C457" s="72"/>
      <c r="D457" s="72"/>
      <c r="E457" s="73" t="s">
        <v>110</v>
      </c>
      <c r="F457" s="73" t="s">
        <v>45</v>
      </c>
      <c r="G457" s="74"/>
      <c r="H457" s="75"/>
      <c r="I457" s="76"/>
      <c r="J457" s="76"/>
    </row>
    <row r="458" spans="2:14" s="129" customFormat="1" ht="18" customHeight="1">
      <c r="B458" s="142" t="s">
        <v>962</v>
      </c>
      <c r="C458" s="142" t="s">
        <v>62</v>
      </c>
      <c r="D458" s="142" t="s">
        <v>84</v>
      </c>
      <c r="E458" s="192" t="s">
        <v>340</v>
      </c>
      <c r="F458" s="142" t="s">
        <v>42</v>
      </c>
      <c r="G458" s="193">
        <f>'PLANILHA CÁLCULO'!AH17+'PLANILHA CÁLCULO'!AH16</f>
        <v>163.13400000000001</v>
      </c>
      <c r="H458" s="146"/>
      <c r="I458" s="147">
        <f>ROUND(H458*(1+BDI),2)</f>
        <v>0</v>
      </c>
      <c r="J458" s="147">
        <f t="shared" ref="J458:J465" si="37">ROUND(G458*I458,2)</f>
        <v>0</v>
      </c>
    </row>
    <row r="459" spans="2:14" s="129" customFormat="1" ht="18" customHeight="1">
      <c r="B459" s="142" t="s">
        <v>977</v>
      </c>
      <c r="C459" s="142" t="s">
        <v>62</v>
      </c>
      <c r="D459" s="142" t="s">
        <v>118</v>
      </c>
      <c r="E459" s="192" t="s">
        <v>339</v>
      </c>
      <c r="F459" s="142" t="s">
        <v>42</v>
      </c>
      <c r="G459" s="193">
        <f>'PLANILHA CÁLCULO'!F16+'PLANILHA CÁLCULO'!F17</f>
        <v>41.682499999999997</v>
      </c>
      <c r="H459" s="146"/>
      <c r="I459" s="147">
        <f>ROUND(H459*(1+BDI),2)</f>
        <v>0</v>
      </c>
      <c r="J459" s="147">
        <f t="shared" si="37"/>
        <v>0</v>
      </c>
    </row>
    <row r="460" spans="2:14" s="129" customFormat="1" ht="18" customHeight="1">
      <c r="B460" s="142" t="s">
        <v>978</v>
      </c>
      <c r="C460" s="142" t="s">
        <v>71</v>
      </c>
      <c r="D460" s="142">
        <v>88485</v>
      </c>
      <c r="E460" s="192" t="s">
        <v>337</v>
      </c>
      <c r="F460" s="142" t="s">
        <v>42</v>
      </c>
      <c r="G460" s="193">
        <f>G458</f>
        <v>163.13400000000001</v>
      </c>
      <c r="H460" s="146"/>
      <c r="I460" s="147">
        <f>ROUND(H460*(1+BDI),2)</f>
        <v>0</v>
      </c>
      <c r="J460" s="147">
        <f t="shared" si="37"/>
        <v>0</v>
      </c>
    </row>
    <row r="461" spans="2:14" s="129" customFormat="1" ht="18" customHeight="1">
      <c r="B461" s="142" t="s">
        <v>979</v>
      </c>
      <c r="C461" s="142" t="s">
        <v>71</v>
      </c>
      <c r="D461" s="142">
        <v>88484</v>
      </c>
      <c r="E461" s="192" t="s">
        <v>338</v>
      </c>
      <c r="F461" s="142" t="s">
        <v>42</v>
      </c>
      <c r="G461" s="193">
        <f>G459</f>
        <v>41.682499999999997</v>
      </c>
      <c r="H461" s="146"/>
      <c r="I461" s="147">
        <f>ROUND(H461*(1+BDI),2)</f>
        <v>0</v>
      </c>
      <c r="J461" s="147">
        <f t="shared" si="37"/>
        <v>0</v>
      </c>
    </row>
    <row r="462" spans="2:14" s="129" customFormat="1" ht="18" customHeight="1">
      <c r="B462" s="142" t="s">
        <v>980</v>
      </c>
      <c r="C462" s="142" t="s">
        <v>71</v>
      </c>
      <c r="D462" s="142">
        <v>88497</v>
      </c>
      <c r="E462" s="144" t="s">
        <v>111</v>
      </c>
      <c r="F462" s="145" t="s">
        <v>42</v>
      </c>
      <c r="G462" s="146">
        <f>G458</f>
        <v>163.13400000000001</v>
      </c>
      <c r="H462" s="146"/>
      <c r="I462" s="147">
        <f>ROUND(H462*(1+BDI),2)</f>
        <v>0</v>
      </c>
      <c r="J462" s="147">
        <f t="shared" si="37"/>
        <v>0</v>
      </c>
    </row>
    <row r="463" spans="2:14" s="129" customFormat="1" ht="18" customHeight="1">
      <c r="B463" s="142" t="s">
        <v>981</v>
      </c>
      <c r="C463" s="142" t="s">
        <v>71</v>
      </c>
      <c r="D463" s="142">
        <v>88496</v>
      </c>
      <c r="E463" s="144" t="s">
        <v>112</v>
      </c>
      <c r="F463" s="145" t="s">
        <v>42</v>
      </c>
      <c r="G463" s="146">
        <f>G461</f>
        <v>41.682499999999997</v>
      </c>
      <c r="H463" s="146"/>
      <c r="I463" s="147">
        <f>ROUND(H463*(1+BDI),2)</f>
        <v>0</v>
      </c>
      <c r="J463" s="147">
        <f t="shared" si="37"/>
        <v>0</v>
      </c>
    </row>
    <row r="464" spans="2:14" s="129" customFormat="1" ht="18" customHeight="1">
      <c r="B464" s="142" t="s">
        <v>982</v>
      </c>
      <c r="C464" s="142" t="s">
        <v>71</v>
      </c>
      <c r="D464" s="142">
        <v>88489</v>
      </c>
      <c r="E464" s="144" t="s">
        <v>98</v>
      </c>
      <c r="F464" s="145" t="s">
        <v>42</v>
      </c>
      <c r="G464" s="146">
        <f>G458</f>
        <v>163.13400000000001</v>
      </c>
      <c r="H464" s="146"/>
      <c r="I464" s="147">
        <f>ROUND(H464*(1+BDI),2)</f>
        <v>0</v>
      </c>
      <c r="J464" s="147">
        <f t="shared" si="37"/>
        <v>0</v>
      </c>
    </row>
    <row r="465" spans="2:12" s="129" customFormat="1" ht="18" customHeight="1">
      <c r="B465" s="142" t="s">
        <v>983</v>
      </c>
      <c r="C465" s="142" t="s">
        <v>71</v>
      </c>
      <c r="D465" s="142">
        <v>88488</v>
      </c>
      <c r="E465" s="144" t="s">
        <v>91</v>
      </c>
      <c r="F465" s="145" t="s">
        <v>42</v>
      </c>
      <c r="G465" s="146">
        <f>G463</f>
        <v>41.682499999999997</v>
      </c>
      <c r="H465" s="146"/>
      <c r="I465" s="147">
        <f>ROUND(H465*(1+BDI),2)</f>
        <v>0</v>
      </c>
      <c r="J465" s="147">
        <f t="shared" si="37"/>
        <v>0</v>
      </c>
    </row>
    <row r="466" spans="2:12" s="129" customFormat="1" ht="18" customHeight="1">
      <c r="B466" s="142" t="s">
        <v>963</v>
      </c>
      <c r="C466" s="142" t="s">
        <v>62</v>
      </c>
      <c r="D466" s="142" t="s">
        <v>871</v>
      </c>
      <c r="E466" s="144" t="s">
        <v>868</v>
      </c>
      <c r="F466" s="145" t="s">
        <v>42</v>
      </c>
      <c r="G466" s="146">
        <v>15</v>
      </c>
      <c r="H466" s="146"/>
      <c r="I466" s="147">
        <f>ROUND(H466*(1+BDI),2)</f>
        <v>0</v>
      </c>
      <c r="J466" s="147">
        <f>ROUND(G466*I466,2)</f>
        <v>0</v>
      </c>
    </row>
    <row r="467" spans="2:12" s="129" customFormat="1" ht="18" customHeight="1">
      <c r="B467" s="72"/>
      <c r="C467" s="72"/>
      <c r="D467" s="72"/>
      <c r="E467" s="73" t="s">
        <v>997</v>
      </c>
      <c r="F467" s="73" t="s">
        <v>45</v>
      </c>
      <c r="G467" s="74"/>
      <c r="H467" s="75"/>
      <c r="I467" s="76"/>
      <c r="J467" s="76">
        <f>SUM(J458:J466)</f>
        <v>0</v>
      </c>
      <c r="L467" s="209"/>
    </row>
    <row r="468" spans="2:12" s="129" customFormat="1" ht="9.75" customHeight="1">
      <c r="B468" s="130"/>
      <c r="C468" s="130"/>
      <c r="D468" s="130"/>
      <c r="E468" s="131"/>
      <c r="F468" s="131"/>
      <c r="G468" s="132"/>
      <c r="H468" s="133"/>
      <c r="I468" s="134"/>
      <c r="J468" s="134"/>
    </row>
    <row r="469" spans="2:12" s="129" customFormat="1" ht="18" customHeight="1">
      <c r="B469" s="72" t="s">
        <v>814</v>
      </c>
      <c r="C469" s="72"/>
      <c r="D469" s="72"/>
      <c r="E469" s="73" t="s">
        <v>67</v>
      </c>
      <c r="F469" s="73" t="s">
        <v>45</v>
      </c>
      <c r="G469" s="74"/>
      <c r="H469" s="75"/>
      <c r="I469" s="76"/>
      <c r="J469" s="76"/>
    </row>
    <row r="470" spans="2:12" s="129" customFormat="1" ht="18" customHeight="1">
      <c r="B470" s="140" t="s">
        <v>961</v>
      </c>
      <c r="C470" s="142" t="s">
        <v>71</v>
      </c>
      <c r="D470" s="142">
        <v>95781</v>
      </c>
      <c r="E470" s="144" t="s">
        <v>303</v>
      </c>
      <c r="F470" s="145" t="s">
        <v>251</v>
      </c>
      <c r="G470" s="146">
        <f>G479+G481+G483</f>
        <v>20</v>
      </c>
      <c r="H470" s="146"/>
      <c r="I470" s="147">
        <f>ROUND(H470*(1+BDI),2)</f>
        <v>0</v>
      </c>
      <c r="J470" s="147">
        <f>ROUND(G470*I470,2)</f>
        <v>0</v>
      </c>
    </row>
    <row r="471" spans="2:12" s="129" customFormat="1" ht="18" customHeight="1">
      <c r="B471" s="140" t="s">
        <v>964</v>
      </c>
      <c r="C471" s="142" t="s">
        <v>71</v>
      </c>
      <c r="D471" s="142">
        <v>95781</v>
      </c>
      <c r="E471" s="144" t="s">
        <v>563</v>
      </c>
      <c r="F471" s="145" t="s">
        <v>251</v>
      </c>
      <c r="G471" s="146">
        <f>G474+G476+G477</f>
        <v>12</v>
      </c>
      <c r="H471" s="146"/>
      <c r="I471" s="147">
        <f>ROUND(H471*(1+BDI),2)</f>
        <v>0</v>
      </c>
      <c r="J471" s="147">
        <f>ROUND(G471*I471,2)</f>
        <v>0</v>
      </c>
    </row>
    <row r="472" spans="2:12" s="129" customFormat="1" ht="18" customHeight="1">
      <c r="B472" s="140" t="s">
        <v>965</v>
      </c>
      <c r="C472" s="142" t="s">
        <v>71</v>
      </c>
      <c r="D472" s="142">
        <v>91925</v>
      </c>
      <c r="E472" s="144" t="s">
        <v>1136</v>
      </c>
      <c r="F472" s="145" t="s">
        <v>43</v>
      </c>
      <c r="G472" s="146">
        <v>100</v>
      </c>
      <c r="H472" s="146"/>
      <c r="I472" s="147">
        <f>ROUND(H472*(1+BDI),2)</f>
        <v>0</v>
      </c>
      <c r="J472" s="147">
        <f t="shared" ref="J472" si="38">ROUND(G472*I472,2)</f>
        <v>0</v>
      </c>
    </row>
    <row r="473" spans="2:12" s="129" customFormat="1" ht="18" customHeight="1">
      <c r="B473" s="140" t="s">
        <v>966</v>
      </c>
      <c r="C473" s="142" t="s">
        <v>71</v>
      </c>
      <c r="D473" s="142">
        <v>91927</v>
      </c>
      <c r="E473" s="144" t="s">
        <v>1137</v>
      </c>
      <c r="F473" s="145" t="s">
        <v>43</v>
      </c>
      <c r="G473" s="146">
        <v>300</v>
      </c>
      <c r="H473" s="146"/>
      <c r="I473" s="147">
        <f>ROUND(H473*(1+BDI),2)</f>
        <v>0</v>
      </c>
      <c r="J473" s="147">
        <f>ROUND(G473*I473,2)</f>
        <v>0</v>
      </c>
    </row>
    <row r="474" spans="2:12" s="129" customFormat="1" ht="18" customHeight="1">
      <c r="B474" s="140" t="s">
        <v>967</v>
      </c>
      <c r="C474" s="142" t="s">
        <v>71</v>
      </c>
      <c r="D474" s="142">
        <v>91953</v>
      </c>
      <c r="E474" s="144" t="s">
        <v>100</v>
      </c>
      <c r="F474" s="145" t="s">
        <v>251</v>
      </c>
      <c r="G474" s="146">
        <v>2</v>
      </c>
      <c r="H474" s="146"/>
      <c r="I474" s="147">
        <f>ROUND(H474*(1+BDI),2)</f>
        <v>0</v>
      </c>
      <c r="J474" s="147">
        <f t="shared" ref="J474:J483" si="39">ROUND(G474*I474,2)</f>
        <v>0</v>
      </c>
    </row>
    <row r="475" spans="2:12" s="129" customFormat="1" ht="18" customHeight="1">
      <c r="B475" s="140" t="s">
        <v>968</v>
      </c>
      <c r="C475" s="142" t="s">
        <v>71</v>
      </c>
      <c r="D475" s="142">
        <v>91959</v>
      </c>
      <c r="E475" s="144" t="s">
        <v>880</v>
      </c>
      <c r="F475" s="145" t="s">
        <v>251</v>
      </c>
      <c r="G475" s="146">
        <v>4</v>
      </c>
      <c r="H475" s="146"/>
      <c r="I475" s="147">
        <f>ROUND(H475*(1+BDI),2)</f>
        <v>0</v>
      </c>
      <c r="J475" s="147">
        <f>ROUND(G475*I475,2)</f>
        <v>0</v>
      </c>
    </row>
    <row r="476" spans="2:12" s="129" customFormat="1" ht="18" customHeight="1">
      <c r="B476" s="140" t="s">
        <v>969</v>
      </c>
      <c r="C476" s="142" t="s">
        <v>71</v>
      </c>
      <c r="D476" s="142">
        <v>92000</v>
      </c>
      <c r="E476" s="144" t="s">
        <v>564</v>
      </c>
      <c r="F476" s="145" t="s">
        <v>251</v>
      </c>
      <c r="G476" s="146">
        <v>8</v>
      </c>
      <c r="H476" s="146"/>
      <c r="I476" s="147">
        <f>ROUND(H476*(1+BDI),2)</f>
        <v>0</v>
      </c>
      <c r="J476" s="147">
        <f t="shared" si="39"/>
        <v>0</v>
      </c>
    </row>
    <row r="477" spans="2:12" s="129" customFormat="1" ht="18" customHeight="1">
      <c r="B477" s="140" t="s">
        <v>970</v>
      </c>
      <c r="C477" s="142" t="s">
        <v>71</v>
      </c>
      <c r="D477" s="142">
        <v>91993</v>
      </c>
      <c r="E477" s="144" t="s">
        <v>545</v>
      </c>
      <c r="F477" s="145" t="s">
        <v>251</v>
      </c>
      <c r="G477" s="146">
        <v>2</v>
      </c>
      <c r="H477" s="146"/>
      <c r="I477" s="147">
        <f>ROUND(H477*(1+BDI),2)</f>
        <v>0</v>
      </c>
      <c r="J477" s="147">
        <f t="shared" si="39"/>
        <v>0</v>
      </c>
    </row>
    <row r="478" spans="2:12" s="129" customFormat="1" ht="18" customHeight="1">
      <c r="B478" s="140" t="s">
        <v>971</v>
      </c>
      <c r="C478" s="142" t="s">
        <v>170</v>
      </c>
      <c r="D478" s="142" t="s">
        <v>280</v>
      </c>
      <c r="E478" s="144" t="s">
        <v>279</v>
      </c>
      <c r="F478" s="145" t="s">
        <v>43</v>
      </c>
      <c r="G478" s="146">
        <v>30</v>
      </c>
      <c r="H478" s="146"/>
      <c r="I478" s="147">
        <f>ROUND(H478*(1+BDI),2)</f>
        <v>0</v>
      </c>
      <c r="J478" s="147">
        <f t="shared" si="39"/>
        <v>0</v>
      </c>
    </row>
    <row r="479" spans="2:12" s="129" customFormat="1" ht="18" customHeight="1">
      <c r="B479" s="140" t="s">
        <v>972</v>
      </c>
      <c r="C479" s="142" t="s">
        <v>691</v>
      </c>
      <c r="D479" s="142" t="s">
        <v>180</v>
      </c>
      <c r="E479" s="144" t="s">
        <v>879</v>
      </c>
      <c r="F479" s="145" t="s">
        <v>251</v>
      </c>
      <c r="G479" s="146">
        <v>16</v>
      </c>
      <c r="H479" s="146"/>
      <c r="I479" s="147">
        <f>ROUND(H479*(1+BDI),2)</f>
        <v>0</v>
      </c>
      <c r="J479" s="147">
        <f t="shared" si="39"/>
        <v>0</v>
      </c>
    </row>
    <row r="480" spans="2:12" s="129" customFormat="1" ht="18" customHeight="1">
      <c r="B480" s="140" t="s">
        <v>973</v>
      </c>
      <c r="C480" s="142" t="s">
        <v>691</v>
      </c>
      <c r="D480" s="142" t="s">
        <v>180</v>
      </c>
      <c r="E480" s="144" t="s">
        <v>878</v>
      </c>
      <c r="F480" s="145" t="s">
        <v>43</v>
      </c>
      <c r="G480" s="146">
        <v>5</v>
      </c>
      <c r="H480" s="146"/>
      <c r="I480" s="147">
        <f>ROUND(H480*(1+BDI),2)</f>
        <v>0</v>
      </c>
      <c r="J480" s="147">
        <f t="shared" si="39"/>
        <v>0</v>
      </c>
    </row>
    <row r="481" spans="2:12" s="129" customFormat="1" ht="18" customHeight="1">
      <c r="B481" s="140" t="s">
        <v>974</v>
      </c>
      <c r="C481" s="142" t="s">
        <v>170</v>
      </c>
      <c r="D481" s="142" t="s">
        <v>875</v>
      </c>
      <c r="E481" s="144" t="s">
        <v>874</v>
      </c>
      <c r="F481" s="145" t="s">
        <v>251</v>
      </c>
      <c r="G481" s="146">
        <v>2</v>
      </c>
      <c r="H481" s="146"/>
      <c r="I481" s="147">
        <f>ROUND(H481*(1+BDI),2)</f>
        <v>0</v>
      </c>
      <c r="J481" s="147">
        <f t="shared" si="39"/>
        <v>0</v>
      </c>
    </row>
    <row r="482" spans="2:12" s="129" customFormat="1" ht="18" customHeight="1">
      <c r="B482" s="140" t="s">
        <v>975</v>
      </c>
      <c r="C482" s="142" t="s">
        <v>691</v>
      </c>
      <c r="D482" s="142" t="s">
        <v>180</v>
      </c>
      <c r="E482" s="144" t="s">
        <v>877</v>
      </c>
      <c r="F482" s="145" t="s">
        <v>251</v>
      </c>
      <c r="G482" s="146">
        <v>8</v>
      </c>
      <c r="H482" s="146"/>
      <c r="I482" s="147">
        <f>ROUND(H482*(1+BDI),2)</f>
        <v>0</v>
      </c>
      <c r="J482" s="147">
        <f t="shared" si="39"/>
        <v>0</v>
      </c>
    </row>
    <row r="483" spans="2:12" s="129" customFormat="1" ht="18" customHeight="1">
      <c r="B483" s="140" t="s">
        <v>976</v>
      </c>
      <c r="C483" s="142" t="s">
        <v>170</v>
      </c>
      <c r="D483" s="142" t="s">
        <v>539</v>
      </c>
      <c r="E483" s="144" t="s">
        <v>876</v>
      </c>
      <c r="F483" s="145" t="s">
        <v>251</v>
      </c>
      <c r="G483" s="146">
        <v>2</v>
      </c>
      <c r="H483" s="146"/>
      <c r="I483" s="147">
        <f>ROUND(H483*(1+BDI),2)</f>
        <v>0</v>
      </c>
      <c r="J483" s="147">
        <f t="shared" si="39"/>
        <v>0</v>
      </c>
    </row>
    <row r="484" spans="2:12" s="129" customFormat="1" ht="18" customHeight="1">
      <c r="B484" s="72"/>
      <c r="C484" s="72"/>
      <c r="D484" s="72"/>
      <c r="E484" s="73" t="s">
        <v>960</v>
      </c>
      <c r="F484" s="73" t="s">
        <v>45</v>
      </c>
      <c r="G484" s="74"/>
      <c r="H484" s="75"/>
      <c r="I484" s="76"/>
      <c r="J484" s="76">
        <f>SUM(J470:J483)</f>
        <v>0</v>
      </c>
      <c r="L484" s="209"/>
    </row>
    <row r="485" spans="2:12" s="129" customFormat="1" ht="7.5" customHeight="1">
      <c r="B485" s="130"/>
      <c r="C485" s="130"/>
      <c r="D485" s="130"/>
      <c r="E485" s="131"/>
      <c r="F485" s="131"/>
      <c r="G485" s="132"/>
      <c r="H485" s="133"/>
      <c r="I485" s="134"/>
      <c r="J485" s="134"/>
    </row>
    <row r="486" spans="2:12" s="129" customFormat="1" ht="18" customHeight="1">
      <c r="B486" s="72" t="s">
        <v>815</v>
      </c>
      <c r="C486" s="72"/>
      <c r="D486" s="72"/>
      <c r="E486" s="73" t="s">
        <v>861</v>
      </c>
      <c r="F486" s="73" t="s">
        <v>45</v>
      </c>
      <c r="G486" s="74"/>
      <c r="H486" s="75"/>
      <c r="I486" s="76"/>
      <c r="J486" s="76"/>
    </row>
    <row r="487" spans="2:12" s="129" customFormat="1" ht="18" customHeight="1">
      <c r="B487" s="140" t="s">
        <v>957</v>
      </c>
      <c r="C487" s="142" t="s">
        <v>71</v>
      </c>
      <c r="D487" s="143">
        <v>89402</v>
      </c>
      <c r="E487" s="148" t="s">
        <v>862</v>
      </c>
      <c r="F487" s="140" t="s">
        <v>43</v>
      </c>
      <c r="G487" s="146">
        <v>18</v>
      </c>
      <c r="H487" s="146"/>
      <c r="I487" s="147">
        <f>ROUND(H487*(1+BDI),2)</f>
        <v>0</v>
      </c>
      <c r="J487" s="147">
        <f t="shared" ref="J487" si="40">ROUND(G487*I487,2)</f>
        <v>0</v>
      </c>
    </row>
    <row r="488" spans="2:12" s="129" customFormat="1" ht="18" customHeight="1">
      <c r="B488" s="140" t="s">
        <v>958</v>
      </c>
      <c r="C488" s="142" t="s">
        <v>71</v>
      </c>
      <c r="D488" s="143">
        <v>89481</v>
      </c>
      <c r="E488" s="148" t="s">
        <v>863</v>
      </c>
      <c r="F488" s="140" t="s">
        <v>72</v>
      </c>
      <c r="G488" s="146">
        <v>6</v>
      </c>
      <c r="H488" s="146"/>
      <c r="I488" s="147">
        <f>ROUND(H488*(1+BDI),2)</f>
        <v>0</v>
      </c>
      <c r="J488" s="147">
        <f>ROUND(G488*I488,2)</f>
        <v>0</v>
      </c>
    </row>
    <row r="489" spans="2:12" s="129" customFormat="1" ht="18" customHeight="1">
      <c r="B489" s="72"/>
      <c r="C489" s="72"/>
      <c r="D489" s="72"/>
      <c r="E489" s="73" t="s">
        <v>959</v>
      </c>
      <c r="F489" s="73" t="s">
        <v>45</v>
      </c>
      <c r="G489" s="74"/>
      <c r="H489" s="75"/>
      <c r="I489" s="76"/>
      <c r="J489" s="76">
        <f>SUM(J487:J488)</f>
        <v>0</v>
      </c>
      <c r="L489" s="209"/>
    </row>
    <row r="490" spans="2:12" s="129" customFormat="1" ht="9" customHeight="1">
      <c r="B490" s="130"/>
      <c r="C490" s="130"/>
      <c r="D490" s="130"/>
      <c r="E490" s="131"/>
      <c r="F490" s="131"/>
      <c r="G490" s="132"/>
      <c r="H490" s="133"/>
      <c r="I490" s="134"/>
      <c r="J490" s="134"/>
    </row>
    <row r="491" spans="2:12" s="22" customFormat="1" ht="18" customHeight="1">
      <c r="B491" s="336" t="s">
        <v>292</v>
      </c>
      <c r="C491" s="337"/>
      <c r="D491" s="337"/>
      <c r="E491" s="337"/>
      <c r="F491" s="337"/>
      <c r="G491" s="337"/>
      <c r="H491" s="337"/>
      <c r="I491" s="338"/>
      <c r="J491" s="207">
        <f>J489+J484+J467+J455+J449+J439+J445</f>
        <v>0</v>
      </c>
    </row>
    <row r="492" spans="2:12" s="22" customFormat="1" ht="8.25" customHeight="1">
      <c r="B492" s="170"/>
      <c r="C492" s="170"/>
      <c r="D492" s="170"/>
      <c r="E492" s="171"/>
      <c r="F492" s="171"/>
      <c r="G492" s="172"/>
      <c r="H492" s="173"/>
      <c r="I492" s="173"/>
      <c r="J492" s="174"/>
    </row>
    <row r="493" spans="2:12" s="22" customFormat="1" ht="18" customHeight="1">
      <c r="B493" s="314" t="s">
        <v>727</v>
      </c>
      <c r="C493" s="315"/>
      <c r="D493" s="315"/>
      <c r="E493" s="315"/>
      <c r="F493" s="315"/>
      <c r="G493" s="315"/>
      <c r="H493" s="315"/>
      <c r="I493" s="315"/>
      <c r="J493" s="316"/>
    </row>
    <row r="494" spans="2:12" s="22" customFormat="1" ht="18" customHeight="1">
      <c r="B494" s="314" t="s">
        <v>677</v>
      </c>
      <c r="C494" s="315"/>
      <c r="D494" s="315"/>
      <c r="E494" s="315"/>
      <c r="F494" s="315"/>
      <c r="G494" s="315"/>
      <c r="H494" s="315"/>
      <c r="I494" s="315"/>
      <c r="J494" s="316"/>
    </row>
    <row r="495" spans="2:12" s="22" customFormat="1" ht="18" customHeight="1">
      <c r="B495" s="72" t="s">
        <v>700</v>
      </c>
      <c r="C495" s="72"/>
      <c r="D495" s="72"/>
      <c r="E495" s="73" t="s">
        <v>89</v>
      </c>
      <c r="F495" s="73" t="s">
        <v>45</v>
      </c>
      <c r="G495" s="74"/>
      <c r="H495" s="75"/>
      <c r="I495" s="76"/>
      <c r="J495" s="76"/>
    </row>
    <row r="496" spans="2:12" s="22" customFormat="1" ht="18" customHeight="1">
      <c r="B496" s="140" t="s">
        <v>718</v>
      </c>
      <c r="C496" s="142" t="s">
        <v>71</v>
      </c>
      <c r="D496" s="142">
        <v>99814</v>
      </c>
      <c r="E496" s="148" t="s">
        <v>678</v>
      </c>
      <c r="F496" s="140" t="s">
        <v>42</v>
      </c>
      <c r="G496" s="146">
        <v>1063.8699999999999</v>
      </c>
      <c r="H496" s="146"/>
      <c r="I496" s="147">
        <f>ROUND(H496*(1+BDI),2)</f>
        <v>0</v>
      </c>
      <c r="J496" s="147">
        <f>ROUND(G496*I496,2)</f>
        <v>0</v>
      </c>
    </row>
    <row r="497" spans="2:12" s="22" customFormat="1" ht="18" customHeight="1">
      <c r="B497" s="140" t="s">
        <v>719</v>
      </c>
      <c r="C497" s="142" t="s">
        <v>71</v>
      </c>
      <c r="D497" s="142">
        <v>97622</v>
      </c>
      <c r="E497" s="148" t="s">
        <v>386</v>
      </c>
      <c r="F497" s="140" t="s">
        <v>44</v>
      </c>
      <c r="G497" s="161">
        <f>(4*3*0.18)+((23.57+7.6)*3*0.18)</f>
        <v>18.991800000000001</v>
      </c>
      <c r="H497" s="146"/>
      <c r="I497" s="147">
        <f>ROUND(H497*(1+BDI),2)</f>
        <v>0</v>
      </c>
      <c r="J497" s="147">
        <f>ROUND(G497*I497,2)</f>
        <v>0</v>
      </c>
    </row>
    <row r="498" spans="2:12" s="22" customFormat="1" ht="18" customHeight="1">
      <c r="B498" s="140" t="s">
        <v>720</v>
      </c>
      <c r="C498" s="142" t="s">
        <v>62</v>
      </c>
      <c r="D498" s="142" t="s">
        <v>152</v>
      </c>
      <c r="E498" s="148" t="s">
        <v>689</v>
      </c>
      <c r="F498" s="140" t="s">
        <v>42</v>
      </c>
      <c r="G498" s="161">
        <f>4*3</f>
        <v>12</v>
      </c>
      <c r="H498" s="146"/>
      <c r="I498" s="147">
        <f>ROUND(H498*(1+BDI),2)</f>
        <v>0</v>
      </c>
      <c r="J498" s="147">
        <f>ROUND(G498*I498,2)</f>
        <v>0</v>
      </c>
    </row>
    <row r="499" spans="2:12" s="22" customFormat="1" ht="18" customHeight="1">
      <c r="B499" s="72"/>
      <c r="C499" s="72"/>
      <c r="D499" s="72"/>
      <c r="E499" s="73" t="s">
        <v>721</v>
      </c>
      <c r="F499" s="73" t="s">
        <v>45</v>
      </c>
      <c r="G499" s="74"/>
      <c r="H499" s="75"/>
      <c r="I499" s="76"/>
      <c r="J499" s="76">
        <f>SUM(J496:J498)</f>
        <v>0</v>
      </c>
      <c r="L499" s="208"/>
    </row>
    <row r="500" spans="2:12" s="129" customFormat="1" ht="6.75" customHeight="1">
      <c r="B500" s="130"/>
      <c r="C500" s="130"/>
      <c r="D500" s="130"/>
      <c r="E500" s="131"/>
      <c r="F500" s="131"/>
      <c r="G500" s="132"/>
      <c r="H500" s="133"/>
      <c r="I500" s="134"/>
      <c r="J500" s="134"/>
    </row>
    <row r="501" spans="2:12" s="129" customFormat="1" ht="9">
      <c r="B501" s="72" t="s">
        <v>701</v>
      </c>
      <c r="C501" s="72"/>
      <c r="D501" s="72"/>
      <c r="E501" s="73" t="s">
        <v>782</v>
      </c>
      <c r="F501" s="73" t="s">
        <v>45</v>
      </c>
      <c r="G501" s="74"/>
      <c r="H501" s="75"/>
      <c r="I501" s="76"/>
      <c r="J501" s="76"/>
    </row>
    <row r="502" spans="2:12" s="129" customFormat="1" ht="18">
      <c r="B502" s="140" t="s">
        <v>717</v>
      </c>
      <c r="C502" s="142" t="s">
        <v>71</v>
      </c>
      <c r="D502" s="143">
        <v>101175</v>
      </c>
      <c r="E502" s="148" t="s">
        <v>855</v>
      </c>
      <c r="F502" s="140" t="s">
        <v>43</v>
      </c>
      <c r="G502" s="146">
        <f>4*3</f>
        <v>12</v>
      </c>
      <c r="H502" s="146"/>
      <c r="I502" s="147">
        <f>ROUND(H502*(1+BDI),2)</f>
        <v>0</v>
      </c>
      <c r="J502" s="147">
        <f t="shared" ref="J502:J511" si="41">ROUND(G502*I502,2)</f>
        <v>0</v>
      </c>
    </row>
    <row r="503" spans="2:12" s="129" customFormat="1" ht="18">
      <c r="B503" s="140" t="s">
        <v>1171</v>
      </c>
      <c r="C503" s="142" t="s">
        <v>71</v>
      </c>
      <c r="D503" s="143">
        <v>96523</v>
      </c>
      <c r="E503" s="148" t="s">
        <v>783</v>
      </c>
      <c r="F503" s="140" t="s">
        <v>44</v>
      </c>
      <c r="G503" s="146">
        <f>1*1*0.6*4</f>
        <v>2.4</v>
      </c>
      <c r="H503" s="146"/>
      <c r="I503" s="147">
        <f>ROUND(H503*(1+BDI),2)</f>
        <v>0</v>
      </c>
      <c r="J503" s="147">
        <f t="shared" si="41"/>
        <v>0</v>
      </c>
    </row>
    <row r="504" spans="2:12" s="129" customFormat="1" ht="18">
      <c r="B504" s="140" t="s">
        <v>1172</v>
      </c>
      <c r="C504" s="142" t="s">
        <v>71</v>
      </c>
      <c r="D504" s="142">
        <v>96527</v>
      </c>
      <c r="E504" s="148" t="s">
        <v>784</v>
      </c>
      <c r="F504" s="140" t="s">
        <v>44</v>
      </c>
      <c r="G504" s="161">
        <f>0.3*0.3*12</f>
        <v>1.08</v>
      </c>
      <c r="H504" s="146"/>
      <c r="I504" s="147">
        <f>ROUND(H504*(1+BDI),2)</f>
        <v>0</v>
      </c>
      <c r="J504" s="147">
        <f>ROUND(G504*I504,2)</f>
        <v>0</v>
      </c>
    </row>
    <row r="505" spans="2:12" s="129" customFormat="1" ht="18">
      <c r="B505" s="140" t="s">
        <v>1173</v>
      </c>
      <c r="C505" s="142" t="s">
        <v>71</v>
      </c>
      <c r="D505" s="142">
        <v>96536</v>
      </c>
      <c r="E505" s="148" t="s">
        <v>786</v>
      </c>
      <c r="F505" s="140" t="s">
        <v>42</v>
      </c>
      <c r="G505" s="161">
        <f>(0.3+0.3)*12</f>
        <v>7.1999999999999993</v>
      </c>
      <c r="H505" s="146"/>
      <c r="I505" s="147">
        <f>ROUND(H505*(1+BDI),2)</f>
        <v>0</v>
      </c>
      <c r="J505" s="147">
        <f t="shared" si="41"/>
        <v>0</v>
      </c>
    </row>
    <row r="506" spans="2:12" s="129" customFormat="1" ht="18">
      <c r="B506" s="140" t="s">
        <v>1174</v>
      </c>
      <c r="C506" s="142" t="s">
        <v>71</v>
      </c>
      <c r="D506" s="142">
        <v>101616</v>
      </c>
      <c r="E506" s="148" t="s">
        <v>785</v>
      </c>
      <c r="F506" s="140" t="s">
        <v>42</v>
      </c>
      <c r="G506" s="161">
        <f>12*0.15</f>
        <v>1.7999999999999998</v>
      </c>
      <c r="H506" s="146"/>
      <c r="I506" s="147">
        <f>ROUND(H506*(1+BDI),2)</f>
        <v>0</v>
      </c>
      <c r="J506" s="147">
        <f t="shared" si="41"/>
        <v>0</v>
      </c>
    </row>
    <row r="507" spans="2:12" s="129" customFormat="1" ht="18">
      <c r="B507" s="140" t="s">
        <v>1175</v>
      </c>
      <c r="C507" s="142" t="s">
        <v>62</v>
      </c>
      <c r="D507" s="194" t="s">
        <v>802</v>
      </c>
      <c r="E507" s="144" t="s">
        <v>793</v>
      </c>
      <c r="F507" s="145" t="s">
        <v>44</v>
      </c>
      <c r="G507" s="161">
        <f>(0.6*0.6*0.6)+(12*0.3*0.15)</f>
        <v>0.75599999999999989</v>
      </c>
      <c r="H507" s="146"/>
      <c r="I507" s="147">
        <f>ROUND(H507*(1+BDI),2)</f>
        <v>0</v>
      </c>
      <c r="J507" s="147">
        <f t="shared" si="41"/>
        <v>0</v>
      </c>
    </row>
    <row r="508" spans="2:12" s="129" customFormat="1" ht="18">
      <c r="B508" s="140" t="s">
        <v>1176</v>
      </c>
      <c r="C508" s="142" t="s">
        <v>71</v>
      </c>
      <c r="D508" s="142">
        <v>96543</v>
      </c>
      <c r="E508" s="148" t="s">
        <v>788</v>
      </c>
      <c r="F508" s="140" t="s">
        <v>88</v>
      </c>
      <c r="G508" s="161">
        <v>15</v>
      </c>
      <c r="H508" s="146"/>
      <c r="I508" s="147">
        <f>ROUND(H508*(1+BDI),2)</f>
        <v>0</v>
      </c>
      <c r="J508" s="147">
        <f t="shared" si="41"/>
        <v>0</v>
      </c>
    </row>
    <row r="509" spans="2:12" s="129" customFormat="1" ht="18">
      <c r="B509" s="140" t="s">
        <v>1177</v>
      </c>
      <c r="C509" s="142" t="s">
        <v>71</v>
      </c>
      <c r="D509" s="142">
        <v>96544</v>
      </c>
      <c r="E509" s="148" t="s">
        <v>789</v>
      </c>
      <c r="F509" s="140" t="s">
        <v>88</v>
      </c>
      <c r="G509" s="161">
        <v>50</v>
      </c>
      <c r="H509" s="146"/>
      <c r="I509" s="147">
        <f>ROUND(H509*(1+BDI),2)</f>
        <v>0</v>
      </c>
      <c r="J509" s="147">
        <f t="shared" si="41"/>
        <v>0</v>
      </c>
    </row>
    <row r="510" spans="2:12" s="129" customFormat="1" ht="18">
      <c r="B510" s="140" t="s">
        <v>1178</v>
      </c>
      <c r="C510" s="142" t="s">
        <v>71</v>
      </c>
      <c r="D510" s="142">
        <v>96545</v>
      </c>
      <c r="E510" s="148" t="s">
        <v>790</v>
      </c>
      <c r="F510" s="140" t="s">
        <v>88</v>
      </c>
      <c r="G510" s="161">
        <v>50</v>
      </c>
      <c r="H510" s="146"/>
      <c r="I510" s="147">
        <f>ROUND(H510*(1+BDI),2)</f>
        <v>0</v>
      </c>
      <c r="J510" s="147">
        <f t="shared" si="41"/>
        <v>0</v>
      </c>
    </row>
    <row r="511" spans="2:12" s="129" customFormat="1" ht="9">
      <c r="B511" s="140" t="s">
        <v>1179</v>
      </c>
      <c r="C511" s="142" t="s">
        <v>71</v>
      </c>
      <c r="D511" s="142">
        <v>93382</v>
      </c>
      <c r="E511" s="148" t="s">
        <v>791</v>
      </c>
      <c r="F511" s="140" t="s">
        <v>44</v>
      </c>
      <c r="G511" s="146">
        <f>(0.15)*(2.52+2.52+1.65+1.65)</f>
        <v>1.2509999999999999</v>
      </c>
      <c r="H511" s="146"/>
      <c r="I511" s="147">
        <f>ROUND(H511*(1+BDI),2)</f>
        <v>0</v>
      </c>
      <c r="J511" s="147">
        <f t="shared" si="41"/>
        <v>0</v>
      </c>
    </row>
    <row r="512" spans="2:12" s="129" customFormat="1" ht="9">
      <c r="B512" s="140" t="s">
        <v>1180</v>
      </c>
      <c r="C512" s="142" t="s">
        <v>71</v>
      </c>
      <c r="D512" s="142">
        <v>98557</v>
      </c>
      <c r="E512" s="148" t="s">
        <v>792</v>
      </c>
      <c r="F512" s="140" t="s">
        <v>42</v>
      </c>
      <c r="G512" s="146">
        <f>G505</f>
        <v>7.1999999999999993</v>
      </c>
      <c r="H512" s="146"/>
      <c r="I512" s="147">
        <f>ROUND(H512*(1+BDI),2)</f>
        <v>0</v>
      </c>
      <c r="J512" s="147">
        <f>ROUND(G512*I512,2)</f>
        <v>0</v>
      </c>
    </row>
    <row r="513" spans="2:13" s="129" customFormat="1" ht="9">
      <c r="B513" s="72"/>
      <c r="C513" s="72"/>
      <c r="D513" s="72"/>
      <c r="E513" s="73" t="s">
        <v>722</v>
      </c>
      <c r="F513" s="73" t="s">
        <v>45</v>
      </c>
      <c r="G513" s="74"/>
      <c r="H513" s="75"/>
      <c r="I513" s="76"/>
      <c r="J513" s="76">
        <f>SUM(J502:J512)</f>
        <v>0</v>
      </c>
    </row>
    <row r="514" spans="2:13" s="129" customFormat="1" ht="9">
      <c r="B514" s="130"/>
      <c r="C514" s="130"/>
      <c r="D514" s="130"/>
      <c r="E514" s="131"/>
      <c r="F514" s="131"/>
      <c r="G514" s="132"/>
      <c r="H514" s="133"/>
      <c r="I514" s="134"/>
      <c r="J514" s="134"/>
    </row>
    <row r="515" spans="2:13" s="129" customFormat="1" ht="9">
      <c r="B515" s="72" t="s">
        <v>702</v>
      </c>
      <c r="C515" s="72"/>
      <c r="D515" s="72"/>
      <c r="E515" s="73" t="s">
        <v>803</v>
      </c>
      <c r="F515" s="73" t="s">
        <v>45</v>
      </c>
      <c r="G515" s="74"/>
      <c r="H515" s="75"/>
      <c r="I515" s="76"/>
      <c r="J515" s="76"/>
    </row>
    <row r="516" spans="2:13" s="129" customFormat="1" ht="27">
      <c r="B516" s="140" t="s">
        <v>716</v>
      </c>
      <c r="C516" s="142" t="s">
        <v>71</v>
      </c>
      <c r="D516" s="142">
        <v>92427</v>
      </c>
      <c r="E516" s="148" t="s">
        <v>805</v>
      </c>
      <c r="F516" s="140" t="s">
        <v>42</v>
      </c>
      <c r="G516" s="161">
        <f>((0.12+0.3)*2)*3*4</f>
        <v>10.08</v>
      </c>
      <c r="H516" s="146"/>
      <c r="I516" s="147">
        <f>ROUND(H516*(1+BDI),2)</f>
        <v>0</v>
      </c>
      <c r="J516" s="147">
        <f t="shared" ref="J516:J522" si="42">ROUND(G516*I516,2)</f>
        <v>0</v>
      </c>
    </row>
    <row r="517" spans="2:13" s="129" customFormat="1" ht="27">
      <c r="B517" s="140" t="s">
        <v>1153</v>
      </c>
      <c r="C517" s="142" t="s">
        <v>71</v>
      </c>
      <c r="D517" s="142">
        <v>92463</v>
      </c>
      <c r="E517" s="148" t="s">
        <v>807</v>
      </c>
      <c r="F517" s="140" t="s">
        <v>42</v>
      </c>
      <c r="G517" s="161">
        <f>(0.3+0.3)*12</f>
        <v>7.1999999999999993</v>
      </c>
      <c r="H517" s="146"/>
      <c r="I517" s="147">
        <f>ROUND(H517*(1+BDI),2)</f>
        <v>0</v>
      </c>
      <c r="J517" s="147">
        <f t="shared" si="42"/>
        <v>0</v>
      </c>
    </row>
    <row r="518" spans="2:13" s="129" customFormat="1" ht="18">
      <c r="B518" s="140" t="s">
        <v>1155</v>
      </c>
      <c r="C518" s="142" t="s">
        <v>71</v>
      </c>
      <c r="D518" s="142">
        <v>92759</v>
      </c>
      <c r="E518" s="148" t="s">
        <v>809</v>
      </c>
      <c r="F518" s="140" t="s">
        <v>88</v>
      </c>
      <c r="G518" s="161">
        <v>20</v>
      </c>
      <c r="H518" s="146"/>
      <c r="I518" s="147">
        <f>ROUND(H518*(1+BDI),2)</f>
        <v>0</v>
      </c>
      <c r="J518" s="147">
        <f>ROUND(G518*I518,2)</f>
        <v>0</v>
      </c>
    </row>
    <row r="519" spans="2:13" s="129" customFormat="1" ht="18">
      <c r="B519" s="140" t="s">
        <v>1156</v>
      </c>
      <c r="C519" s="142" t="s">
        <v>71</v>
      </c>
      <c r="D519" s="142">
        <v>92761</v>
      </c>
      <c r="E519" s="148" t="s">
        <v>811</v>
      </c>
      <c r="F519" s="140" t="s">
        <v>88</v>
      </c>
      <c r="G519" s="161">
        <v>35</v>
      </c>
      <c r="H519" s="146"/>
      <c r="I519" s="147">
        <f>ROUND(H519*(1+BDI),2)</f>
        <v>0</v>
      </c>
      <c r="J519" s="147">
        <f t="shared" si="42"/>
        <v>0</v>
      </c>
    </row>
    <row r="520" spans="2:13" s="129" customFormat="1" ht="18">
      <c r="B520" s="140" t="s">
        <v>1157</v>
      </c>
      <c r="C520" s="142" t="s">
        <v>71</v>
      </c>
      <c r="D520" s="142">
        <v>92762</v>
      </c>
      <c r="E520" s="148" t="s">
        <v>813</v>
      </c>
      <c r="F520" s="140" t="s">
        <v>88</v>
      </c>
      <c r="G520" s="161">
        <v>55</v>
      </c>
      <c r="H520" s="146"/>
      <c r="I520" s="147">
        <f>ROUND(H520*(1+BDI),2)</f>
        <v>0</v>
      </c>
      <c r="J520" s="147">
        <f t="shared" si="42"/>
        <v>0</v>
      </c>
    </row>
    <row r="521" spans="2:13" s="129" customFormat="1" ht="18">
      <c r="B521" s="140" t="s">
        <v>1181</v>
      </c>
      <c r="C521" s="142" t="s">
        <v>62</v>
      </c>
      <c r="D521" s="194" t="s">
        <v>839</v>
      </c>
      <c r="E521" s="144" t="s">
        <v>822</v>
      </c>
      <c r="F521" s="145" t="s">
        <v>44</v>
      </c>
      <c r="G521" s="161">
        <f>0.12*0.3*3*4</f>
        <v>0.43199999999999994</v>
      </c>
      <c r="H521" s="146"/>
      <c r="I521" s="147">
        <f>ROUND(H521*(1+BDI),2)</f>
        <v>0</v>
      </c>
      <c r="J521" s="147">
        <f t="shared" si="42"/>
        <v>0</v>
      </c>
    </row>
    <row r="522" spans="2:13" s="129" customFormat="1" ht="18">
      <c r="B522" s="140" t="s">
        <v>1182</v>
      </c>
      <c r="C522" s="142" t="s">
        <v>62</v>
      </c>
      <c r="D522" s="194" t="s">
        <v>840</v>
      </c>
      <c r="E522" s="144" t="s">
        <v>833</v>
      </c>
      <c r="F522" s="145" t="s">
        <v>44</v>
      </c>
      <c r="G522" s="161">
        <f>0.3*0.14*12</f>
        <v>0.504</v>
      </c>
      <c r="H522" s="146"/>
      <c r="I522" s="147">
        <f>ROUND(H522*(1+BDI),2)</f>
        <v>0</v>
      </c>
      <c r="J522" s="147">
        <f t="shared" si="42"/>
        <v>0</v>
      </c>
    </row>
    <row r="523" spans="2:13" s="129" customFormat="1" ht="9">
      <c r="B523" s="72"/>
      <c r="C523" s="72"/>
      <c r="D523" s="72"/>
      <c r="E523" s="73" t="s">
        <v>723</v>
      </c>
      <c r="F523" s="73" t="s">
        <v>45</v>
      </c>
      <c r="G523" s="74"/>
      <c r="H523" s="75"/>
      <c r="I523" s="76"/>
      <c r="J523" s="76">
        <f>SUM(J516:J522)</f>
        <v>0</v>
      </c>
    </row>
    <row r="524" spans="2:13" s="129" customFormat="1" ht="9">
      <c r="B524" s="130"/>
      <c r="C524" s="130"/>
      <c r="D524" s="130"/>
      <c r="E524" s="131"/>
      <c r="F524" s="131"/>
      <c r="G524" s="132"/>
      <c r="H524" s="133"/>
      <c r="I524" s="134"/>
      <c r="J524" s="134"/>
    </row>
    <row r="525" spans="2:13" s="129" customFormat="1" ht="18" customHeight="1">
      <c r="B525" s="72" t="s">
        <v>703</v>
      </c>
      <c r="C525" s="72"/>
      <c r="D525" s="72"/>
      <c r="E525" s="73" t="s">
        <v>391</v>
      </c>
      <c r="F525" s="73" t="s">
        <v>45</v>
      </c>
      <c r="G525" s="74"/>
      <c r="H525" s="75"/>
      <c r="I525" s="76"/>
      <c r="J525" s="76"/>
    </row>
    <row r="526" spans="2:13" s="129" customFormat="1" ht="18" customHeight="1">
      <c r="B526" s="140" t="s">
        <v>713</v>
      </c>
      <c r="C526" s="140" t="s">
        <v>170</v>
      </c>
      <c r="D526" s="140" t="s">
        <v>171</v>
      </c>
      <c r="E526" s="141" t="s">
        <v>844</v>
      </c>
      <c r="F526" s="140" t="s">
        <v>88</v>
      </c>
      <c r="G526" s="146">
        <v>54</v>
      </c>
      <c r="H526" s="146"/>
      <c r="I526" s="147">
        <f>ROUND(H526*(1+BDI),2)</f>
        <v>0</v>
      </c>
      <c r="J526" s="147">
        <f>ROUND(G526*I526,2)</f>
        <v>0</v>
      </c>
    </row>
    <row r="527" spans="2:13" s="129" customFormat="1" ht="18" customHeight="1">
      <c r="B527" s="140" t="s">
        <v>714</v>
      </c>
      <c r="C527" s="142" t="s">
        <v>71</v>
      </c>
      <c r="D527" s="159" t="s">
        <v>416</v>
      </c>
      <c r="E527" s="144" t="s">
        <v>415</v>
      </c>
      <c r="F527" s="145" t="s">
        <v>42</v>
      </c>
      <c r="G527" s="146">
        <f>(4*3)+(12*3)</f>
        <v>48</v>
      </c>
      <c r="H527" s="146"/>
      <c r="I527" s="147">
        <f>ROUND(H527*(1+BDI),2)</f>
        <v>0</v>
      </c>
      <c r="J527" s="147">
        <f>ROUND(G527*I527,2)</f>
        <v>0</v>
      </c>
      <c r="M527" s="209"/>
    </row>
    <row r="528" spans="2:13" s="129" customFormat="1" ht="18" customHeight="1">
      <c r="B528" s="140" t="s">
        <v>715</v>
      </c>
      <c r="C528" s="142" t="s">
        <v>62</v>
      </c>
      <c r="D528" s="159" t="s">
        <v>1160</v>
      </c>
      <c r="E528" s="144" t="s">
        <v>1168</v>
      </c>
      <c r="F528" s="145" t="s">
        <v>43</v>
      </c>
      <c r="G528" s="146">
        <v>138.21</v>
      </c>
      <c r="H528" s="146"/>
      <c r="I528" s="147">
        <f>ROUND(H528*(1+BDI),2)</f>
        <v>0</v>
      </c>
      <c r="J528" s="147">
        <f>ROUND(G528*I528,2)</f>
        <v>0</v>
      </c>
      <c r="M528" s="209"/>
    </row>
    <row r="529" spans="2:13" s="129" customFormat="1" ht="18" customHeight="1">
      <c r="B529" s="72"/>
      <c r="C529" s="72"/>
      <c r="D529" s="72"/>
      <c r="E529" s="73" t="s">
        <v>724</v>
      </c>
      <c r="F529" s="73" t="s">
        <v>45</v>
      </c>
      <c r="G529" s="74"/>
      <c r="H529" s="75"/>
      <c r="I529" s="76"/>
      <c r="J529" s="76">
        <f>SUM(J526:J528)</f>
        <v>0</v>
      </c>
    </row>
    <row r="530" spans="2:13" s="129" customFormat="1" ht="8.25" customHeight="1">
      <c r="B530" s="130"/>
      <c r="C530" s="130"/>
      <c r="D530" s="130"/>
      <c r="E530" s="131"/>
      <c r="F530" s="131"/>
      <c r="G530" s="132"/>
      <c r="H530" s="133"/>
      <c r="I530" s="134"/>
      <c r="J530" s="134"/>
    </row>
    <row r="531" spans="2:13" s="129" customFormat="1" ht="18" customHeight="1">
      <c r="B531" s="72" t="s">
        <v>704</v>
      </c>
      <c r="C531" s="72"/>
      <c r="D531" s="72"/>
      <c r="E531" s="73" t="s">
        <v>123</v>
      </c>
      <c r="F531" s="73" t="s">
        <v>45</v>
      </c>
      <c r="G531" s="74"/>
      <c r="H531" s="75"/>
      <c r="I531" s="76"/>
      <c r="J531" s="76"/>
    </row>
    <row r="532" spans="2:13" s="129" customFormat="1" ht="18" customHeight="1">
      <c r="B532" s="140" t="s">
        <v>708</v>
      </c>
      <c r="C532" s="140" t="s">
        <v>71</v>
      </c>
      <c r="D532" s="140">
        <v>93382</v>
      </c>
      <c r="E532" s="141" t="s">
        <v>174</v>
      </c>
      <c r="F532" s="140" t="s">
        <v>42</v>
      </c>
      <c r="G532" s="153">
        <v>295</v>
      </c>
      <c r="H532" s="146"/>
      <c r="I532" s="147">
        <f>ROUND(H532*(1+BDI),2)</f>
        <v>0</v>
      </c>
      <c r="J532" s="147">
        <f>ROUND(G532*I532,2)</f>
        <v>0</v>
      </c>
    </row>
    <row r="533" spans="2:13" s="129" customFormat="1" ht="18" customHeight="1">
      <c r="B533" s="140" t="s">
        <v>709</v>
      </c>
      <c r="C533" s="140" t="s">
        <v>71</v>
      </c>
      <c r="D533" s="140">
        <v>96624</v>
      </c>
      <c r="E533" s="141" t="s">
        <v>1158</v>
      </c>
      <c r="F533" s="140" t="s">
        <v>44</v>
      </c>
      <c r="G533" s="146">
        <f>(G532*0.1)*1.15</f>
        <v>33.924999999999997</v>
      </c>
      <c r="H533" s="146"/>
      <c r="I533" s="147">
        <f>ROUND(H533*(1+BDI),2)</f>
        <v>0</v>
      </c>
      <c r="J533" s="147">
        <f>ROUND(G533*I533,2)</f>
        <v>0</v>
      </c>
    </row>
    <row r="534" spans="2:13" s="129" customFormat="1" ht="18" customHeight="1">
      <c r="B534" s="140" t="s">
        <v>710</v>
      </c>
      <c r="C534" s="140" t="s">
        <v>71</v>
      </c>
      <c r="D534" s="140">
        <v>92398</v>
      </c>
      <c r="E534" s="141" t="s">
        <v>1159</v>
      </c>
      <c r="F534" s="140" t="s">
        <v>42</v>
      </c>
      <c r="G534" s="146">
        <v>295</v>
      </c>
      <c r="H534" s="146"/>
      <c r="I534" s="147">
        <f>ROUND(H534*(1+BDI),2)</f>
        <v>0</v>
      </c>
      <c r="J534" s="147">
        <f>ROUND(G534*I534,2)</f>
        <v>0</v>
      </c>
    </row>
    <row r="535" spans="2:13" s="129" customFormat="1" ht="18" customHeight="1">
      <c r="B535" s="72"/>
      <c r="C535" s="72"/>
      <c r="D535" s="72"/>
      <c r="E535" s="73" t="s">
        <v>725</v>
      </c>
      <c r="F535" s="73" t="s">
        <v>45</v>
      </c>
      <c r="G535" s="74"/>
      <c r="H535" s="75"/>
      <c r="I535" s="76"/>
      <c r="J535" s="76">
        <f>SUM(J532:J534)</f>
        <v>0</v>
      </c>
    </row>
    <row r="536" spans="2:13" s="129" customFormat="1" ht="8.25" customHeight="1">
      <c r="B536" s="130"/>
      <c r="C536" s="130"/>
      <c r="D536" s="130"/>
      <c r="E536" s="131"/>
      <c r="F536" s="131"/>
      <c r="G536" s="132"/>
      <c r="H536" s="133"/>
      <c r="I536" s="134"/>
      <c r="J536" s="134"/>
    </row>
    <row r="537" spans="2:13" s="129" customFormat="1" ht="18" customHeight="1">
      <c r="B537" s="72" t="s">
        <v>705</v>
      </c>
      <c r="C537" s="72"/>
      <c r="D537" s="72"/>
      <c r="E537" s="73" t="s">
        <v>121</v>
      </c>
      <c r="F537" s="73" t="s">
        <v>45</v>
      </c>
      <c r="G537" s="74"/>
      <c r="H537" s="75"/>
      <c r="I537" s="76"/>
      <c r="J537" s="76"/>
    </row>
    <row r="538" spans="2:13" s="129" customFormat="1" ht="18" customHeight="1">
      <c r="B538" s="140" t="s">
        <v>706</v>
      </c>
      <c r="C538" s="142" t="s">
        <v>71</v>
      </c>
      <c r="D538" s="143">
        <v>100701</v>
      </c>
      <c r="E538" s="144" t="s">
        <v>1151</v>
      </c>
      <c r="F538" s="145" t="s">
        <v>42</v>
      </c>
      <c r="G538" s="146">
        <f>(4*2.3)*0.5</f>
        <v>4.5999999999999996</v>
      </c>
      <c r="H538" s="146"/>
      <c r="I538" s="147">
        <f>ROUND(H538*(1+BDI),2)</f>
        <v>0</v>
      </c>
      <c r="J538" s="147">
        <f>ROUND(G538*I538,2)</f>
        <v>0</v>
      </c>
    </row>
    <row r="539" spans="2:13" s="129" customFormat="1" ht="18" customHeight="1">
      <c r="B539" s="72"/>
      <c r="C539" s="72"/>
      <c r="D539" s="72"/>
      <c r="E539" s="73" t="s">
        <v>726</v>
      </c>
      <c r="F539" s="73" t="s">
        <v>45</v>
      </c>
      <c r="G539" s="74"/>
      <c r="H539" s="75"/>
      <c r="I539" s="76"/>
      <c r="J539" s="76">
        <f>SUM(J538:J538)</f>
        <v>0</v>
      </c>
      <c r="M539" s="209"/>
    </row>
    <row r="540" spans="2:13" s="129" customFormat="1" ht="7.5" customHeight="1">
      <c r="B540" s="130"/>
      <c r="C540" s="130"/>
      <c r="D540" s="130"/>
      <c r="E540" s="131"/>
      <c r="F540" s="131"/>
      <c r="G540" s="132"/>
      <c r="H540" s="133"/>
      <c r="I540" s="134"/>
      <c r="J540" s="134"/>
    </row>
    <row r="541" spans="2:13" s="129" customFormat="1" ht="18" customHeight="1">
      <c r="B541" s="72" t="s">
        <v>1154</v>
      </c>
      <c r="C541" s="72"/>
      <c r="D541" s="72"/>
      <c r="E541" s="73" t="s">
        <v>411</v>
      </c>
      <c r="F541" s="73" t="s">
        <v>45</v>
      </c>
      <c r="G541" s="74"/>
      <c r="H541" s="75"/>
      <c r="I541" s="76"/>
      <c r="J541" s="76"/>
    </row>
    <row r="542" spans="2:13" s="129" customFormat="1" ht="18" customHeight="1">
      <c r="B542" s="140" t="s">
        <v>1183</v>
      </c>
      <c r="C542" s="140" t="s">
        <v>170</v>
      </c>
      <c r="D542" s="140" t="s">
        <v>1132</v>
      </c>
      <c r="E542" s="141" t="s">
        <v>414</v>
      </c>
      <c r="F542" s="140" t="s">
        <v>251</v>
      </c>
      <c r="G542" s="146">
        <v>15</v>
      </c>
      <c r="H542" s="146"/>
      <c r="I542" s="146">
        <f>ROUND(H542*(1+BDI),2)</f>
        <v>0</v>
      </c>
      <c r="J542" s="146">
        <f>ROUND(G542*I542,2)</f>
        <v>0</v>
      </c>
    </row>
    <row r="543" spans="2:13" s="129" customFormat="1" ht="18" customHeight="1">
      <c r="B543" s="140" t="s">
        <v>1184</v>
      </c>
      <c r="C543" s="142" t="s">
        <v>71</v>
      </c>
      <c r="D543" s="143">
        <v>87879</v>
      </c>
      <c r="E543" s="148" t="s">
        <v>413</v>
      </c>
      <c r="F543" s="140" t="s">
        <v>42</v>
      </c>
      <c r="G543" s="146">
        <f>G527*2</f>
        <v>96</v>
      </c>
      <c r="H543" s="146"/>
      <c r="I543" s="147">
        <f>ROUND(H543*(1+BDI),2)</f>
        <v>0</v>
      </c>
      <c r="J543" s="147">
        <f>ROUND(G543*I543,2)</f>
        <v>0</v>
      </c>
    </row>
    <row r="544" spans="2:13" s="129" customFormat="1" ht="18" customHeight="1">
      <c r="B544" s="140" t="s">
        <v>1185</v>
      </c>
      <c r="C544" s="140" t="s">
        <v>71</v>
      </c>
      <c r="D544" s="140">
        <v>87529</v>
      </c>
      <c r="E544" s="141" t="s">
        <v>417</v>
      </c>
      <c r="F544" s="140" t="s">
        <v>42</v>
      </c>
      <c r="G544" s="146">
        <f>G543</f>
        <v>96</v>
      </c>
      <c r="H544" s="146"/>
      <c r="I544" s="147">
        <f>ROUND(H544*(1+BDI),2)</f>
        <v>0</v>
      </c>
      <c r="J544" s="147">
        <f>ROUND(G544*I544,2)</f>
        <v>0</v>
      </c>
    </row>
    <row r="545" spans="2:14" s="129" customFormat="1" ht="18" customHeight="1">
      <c r="B545" s="72"/>
      <c r="C545" s="72"/>
      <c r="D545" s="72"/>
      <c r="E545" s="73" t="s">
        <v>1196</v>
      </c>
      <c r="F545" s="73" t="s">
        <v>45</v>
      </c>
      <c r="G545" s="74"/>
      <c r="H545" s="75"/>
      <c r="I545" s="76"/>
      <c r="J545" s="76">
        <f>SUM(J542:J544)</f>
        <v>0</v>
      </c>
      <c r="N545" s="209"/>
    </row>
    <row r="546" spans="2:14" s="129" customFormat="1" ht="10.5" customHeight="1">
      <c r="B546" s="130"/>
      <c r="C546" s="130"/>
      <c r="D546" s="130"/>
      <c r="E546" s="131"/>
      <c r="F546" s="131"/>
      <c r="G546" s="132"/>
      <c r="H546" s="133"/>
      <c r="I546" s="134"/>
      <c r="J546" s="134"/>
    </row>
    <row r="547" spans="2:14" s="129" customFormat="1" ht="18" customHeight="1">
      <c r="B547" s="72" t="s">
        <v>1169</v>
      </c>
      <c r="C547" s="72"/>
      <c r="D547" s="72"/>
      <c r="E547" s="73" t="s">
        <v>676</v>
      </c>
      <c r="F547" s="73" t="s">
        <v>45</v>
      </c>
      <c r="G547" s="74"/>
      <c r="H547" s="75"/>
      <c r="I547" s="76"/>
      <c r="J547" s="76"/>
    </row>
    <row r="548" spans="2:14" s="129" customFormat="1" ht="18" customHeight="1">
      <c r="B548" s="142" t="s">
        <v>1186</v>
      </c>
      <c r="C548" s="142" t="s">
        <v>71</v>
      </c>
      <c r="D548" s="142">
        <v>102507</v>
      </c>
      <c r="E548" s="192" t="s">
        <v>683</v>
      </c>
      <c r="F548" s="142" t="s">
        <v>42</v>
      </c>
      <c r="G548" s="146">
        <f>'PLANILHA CÁLCULO'!X12</f>
        <v>54.405000000000001</v>
      </c>
      <c r="H548" s="146"/>
      <c r="I548" s="146">
        <f>ROUND(H548*(1+BDI),2)</f>
        <v>0</v>
      </c>
      <c r="J548" s="146">
        <f>ROUND(G548*I548,2)</f>
        <v>0</v>
      </c>
    </row>
    <row r="549" spans="2:14" s="129" customFormat="1" ht="19.5" customHeight="1">
      <c r="B549" s="142" t="s">
        <v>1187</v>
      </c>
      <c r="C549" s="142" t="s">
        <v>71</v>
      </c>
      <c r="D549" s="142">
        <v>102513</v>
      </c>
      <c r="E549" s="192" t="s">
        <v>684</v>
      </c>
      <c r="F549" s="142" t="s">
        <v>42</v>
      </c>
      <c r="G549" s="146">
        <v>2</v>
      </c>
      <c r="H549" s="146"/>
      <c r="I549" s="146">
        <f>ROUND(H549*(1+BDI),2)</f>
        <v>0</v>
      </c>
      <c r="J549" s="146">
        <f>ROUND(G549*I549,2)</f>
        <v>0</v>
      </c>
    </row>
    <row r="550" spans="2:14" s="129" customFormat="1" ht="18" customHeight="1">
      <c r="B550" s="142" t="s">
        <v>1188</v>
      </c>
      <c r="C550" s="142" t="s">
        <v>62</v>
      </c>
      <c r="D550" s="142" t="s">
        <v>84</v>
      </c>
      <c r="E550" s="192" t="s">
        <v>340</v>
      </c>
      <c r="F550" s="142" t="s">
        <v>42</v>
      </c>
      <c r="G550" s="146">
        <f>'PLANILHA CÁLCULO'!AK12</f>
        <v>738.3</v>
      </c>
      <c r="H550" s="146"/>
      <c r="I550" s="146">
        <f>ROUND(H550*(1+BDI),2)</f>
        <v>0</v>
      </c>
      <c r="J550" s="146">
        <f t="shared" ref="J550:J552" si="43">ROUND(G550*I550,2)</f>
        <v>0</v>
      </c>
    </row>
    <row r="551" spans="2:14" s="129" customFormat="1" ht="18" customHeight="1">
      <c r="B551" s="142" t="s">
        <v>1189</v>
      </c>
      <c r="C551" s="142" t="s">
        <v>71</v>
      </c>
      <c r="D551" s="142">
        <v>88415</v>
      </c>
      <c r="E551" s="192" t="s">
        <v>685</v>
      </c>
      <c r="F551" s="142" t="s">
        <v>42</v>
      </c>
      <c r="G551" s="146">
        <f>G544</f>
        <v>96</v>
      </c>
      <c r="H551" s="146"/>
      <c r="I551" s="146">
        <f>ROUND(H551*(1+BDI),2)</f>
        <v>0</v>
      </c>
      <c r="J551" s="146">
        <f t="shared" si="43"/>
        <v>0</v>
      </c>
    </row>
    <row r="552" spans="2:14" s="129" customFormat="1" ht="18" customHeight="1">
      <c r="B552" s="142" t="s">
        <v>1190</v>
      </c>
      <c r="C552" s="142" t="s">
        <v>71</v>
      </c>
      <c r="D552" s="142">
        <v>88485</v>
      </c>
      <c r="E552" s="192" t="s">
        <v>679</v>
      </c>
      <c r="F552" s="142" t="s">
        <v>42</v>
      </c>
      <c r="G552" s="146">
        <f>G550</f>
        <v>738.3</v>
      </c>
      <c r="H552" s="146"/>
      <c r="I552" s="146">
        <f>ROUND(H552*(1+BDI),2)</f>
        <v>0</v>
      </c>
      <c r="J552" s="146">
        <f t="shared" si="43"/>
        <v>0</v>
      </c>
    </row>
    <row r="553" spans="2:14" s="129" customFormat="1" ht="18" customHeight="1">
      <c r="B553" s="142" t="s">
        <v>1191</v>
      </c>
      <c r="C553" s="142" t="s">
        <v>71</v>
      </c>
      <c r="D553" s="142">
        <v>88416</v>
      </c>
      <c r="E553" s="192" t="s">
        <v>680</v>
      </c>
      <c r="F553" s="142" t="s">
        <v>42</v>
      </c>
      <c r="G553" s="146">
        <f>G550+G551</f>
        <v>834.3</v>
      </c>
      <c r="H553" s="146"/>
      <c r="I553" s="146">
        <f>ROUND(H553*(1+BDI),2)</f>
        <v>0</v>
      </c>
      <c r="J553" s="146">
        <f>ROUND(G553*I553,2)</f>
        <v>0</v>
      </c>
    </row>
    <row r="554" spans="2:14" s="129" customFormat="1" ht="18" customHeight="1">
      <c r="B554" s="72"/>
      <c r="C554" s="72"/>
      <c r="D554" s="72"/>
      <c r="E554" s="73" t="s">
        <v>1197</v>
      </c>
      <c r="F554" s="73" t="s">
        <v>45</v>
      </c>
      <c r="G554" s="74"/>
      <c r="H554" s="75"/>
      <c r="I554" s="76"/>
      <c r="J554" s="76">
        <f>SUM(J548:J553)</f>
        <v>0</v>
      </c>
      <c r="L554" s="209"/>
    </row>
    <row r="555" spans="2:14" s="129" customFormat="1" ht="10.5" customHeight="1">
      <c r="B555" s="130"/>
      <c r="C555" s="130"/>
      <c r="D555" s="130"/>
      <c r="E555" s="131"/>
      <c r="F555" s="131"/>
      <c r="G555" s="132"/>
      <c r="H555" s="133"/>
      <c r="I555" s="134"/>
      <c r="J555" s="134"/>
    </row>
    <row r="556" spans="2:14" s="129" customFormat="1" ht="18" customHeight="1">
      <c r="B556" s="72" t="s">
        <v>1170</v>
      </c>
      <c r="C556" s="72"/>
      <c r="D556" s="72"/>
      <c r="E556" s="73" t="s">
        <v>67</v>
      </c>
      <c r="F556" s="73" t="s">
        <v>45</v>
      </c>
      <c r="G556" s="74"/>
      <c r="H556" s="75"/>
      <c r="I556" s="76"/>
      <c r="J556" s="76"/>
    </row>
    <row r="557" spans="2:14" s="129" customFormat="1" ht="18" customHeight="1">
      <c r="B557" s="140" t="s">
        <v>1192</v>
      </c>
      <c r="C557" s="142" t="s">
        <v>170</v>
      </c>
      <c r="D557" s="142" t="s">
        <v>1133</v>
      </c>
      <c r="E557" s="144" t="s">
        <v>699</v>
      </c>
      <c r="F557" s="145" t="s">
        <v>251</v>
      </c>
      <c r="G557" s="146">
        <v>3</v>
      </c>
      <c r="H557" s="146"/>
      <c r="I557" s="147">
        <f>ROUND(H557*(1+BDI),2)</f>
        <v>0</v>
      </c>
      <c r="J557" s="147">
        <f>ROUND(G557*I557,2)</f>
        <v>0</v>
      </c>
    </row>
    <row r="558" spans="2:14" s="129" customFormat="1" ht="18" customHeight="1">
      <c r="B558" s="140" t="s">
        <v>1193</v>
      </c>
      <c r="C558" s="142" t="s">
        <v>71</v>
      </c>
      <c r="D558" s="142">
        <v>91932</v>
      </c>
      <c r="E558" s="144" t="s">
        <v>1143</v>
      </c>
      <c r="F558" s="145" t="s">
        <v>43</v>
      </c>
      <c r="G558" s="146">
        <v>300</v>
      </c>
      <c r="H558" s="146"/>
      <c r="I558" s="147">
        <f>ROUND(H558*(1+BDI),2)</f>
        <v>0</v>
      </c>
      <c r="J558" s="147">
        <f>ROUND(G558*I558,2)</f>
        <v>0</v>
      </c>
    </row>
    <row r="559" spans="2:14" s="129" customFormat="1" ht="18" customHeight="1">
      <c r="B559" s="140" t="s">
        <v>1194</v>
      </c>
      <c r="C559" s="142" t="s">
        <v>170</v>
      </c>
      <c r="D559" s="142" t="s">
        <v>692</v>
      </c>
      <c r="E559" s="144" t="s">
        <v>693</v>
      </c>
      <c r="F559" s="145" t="s">
        <v>43</v>
      </c>
      <c r="G559" s="146">
        <v>100</v>
      </c>
      <c r="H559" s="146"/>
      <c r="I559" s="147">
        <f>ROUND(H559*(1+BDI),2)</f>
        <v>0</v>
      </c>
      <c r="J559" s="147">
        <f>ROUND(G559*I559,2)</f>
        <v>0</v>
      </c>
    </row>
    <row r="560" spans="2:14" s="129" customFormat="1" ht="18" customHeight="1">
      <c r="B560" s="140" t="s">
        <v>1195</v>
      </c>
      <c r="C560" s="142" t="s">
        <v>691</v>
      </c>
      <c r="D560" s="142" t="s">
        <v>180</v>
      </c>
      <c r="E560" s="144" t="s">
        <v>690</v>
      </c>
      <c r="F560" s="145" t="s">
        <v>251</v>
      </c>
      <c r="G560" s="146">
        <v>3</v>
      </c>
      <c r="H560" s="146"/>
      <c r="I560" s="147">
        <f>ROUND(H560*(1+BDI),2)</f>
        <v>0</v>
      </c>
      <c r="J560" s="147">
        <f>ROUND(G560*I560,2)</f>
        <v>0</v>
      </c>
    </row>
    <row r="561" spans="2:13" s="129" customFormat="1" ht="18" customHeight="1">
      <c r="B561" s="72"/>
      <c r="C561" s="72"/>
      <c r="D561" s="72"/>
      <c r="E561" s="73" t="s">
        <v>1198</v>
      </c>
      <c r="F561" s="73" t="s">
        <v>45</v>
      </c>
      <c r="G561" s="74"/>
      <c r="H561" s="75"/>
      <c r="I561" s="76"/>
      <c r="J561" s="76">
        <f>SUM(J557:J560)</f>
        <v>0</v>
      </c>
      <c r="L561" s="209"/>
    </row>
    <row r="562" spans="2:13" s="129" customFormat="1" ht="9" customHeight="1">
      <c r="B562" s="130"/>
      <c r="C562" s="130"/>
      <c r="D562" s="130"/>
      <c r="E562" s="131"/>
      <c r="F562" s="131"/>
      <c r="G562" s="132"/>
      <c r="H562" s="133"/>
      <c r="I562" s="134"/>
      <c r="J562" s="134"/>
    </row>
    <row r="563" spans="2:13" s="129" customFormat="1" ht="18" customHeight="1">
      <c r="B563" s="335" t="s">
        <v>380</v>
      </c>
      <c r="C563" s="335"/>
      <c r="D563" s="335"/>
      <c r="E563" s="335"/>
      <c r="F563" s="335"/>
      <c r="G563" s="335"/>
      <c r="H563" s="335"/>
      <c r="I563" s="335"/>
      <c r="J563" s="169">
        <f>J561+J554+J545+J539+J529+J499+J535+J523+J513</f>
        <v>0</v>
      </c>
    </row>
    <row r="564" spans="2:13" s="129" customFormat="1" ht="11.25" customHeight="1">
      <c r="B564" s="130"/>
      <c r="C564" s="130"/>
      <c r="D564" s="130"/>
      <c r="E564" s="131"/>
      <c r="F564" s="131"/>
      <c r="G564" s="132"/>
      <c r="H564" s="133"/>
      <c r="I564" s="134"/>
      <c r="J564" s="134"/>
    </row>
    <row r="565" spans="2:13" s="129" customFormat="1" ht="18" customHeight="1">
      <c r="B565" s="314" t="s">
        <v>694</v>
      </c>
      <c r="C565" s="315"/>
      <c r="D565" s="315"/>
      <c r="E565" s="315"/>
      <c r="F565" s="315"/>
      <c r="G565" s="315"/>
      <c r="H565" s="315"/>
      <c r="I565" s="315"/>
      <c r="J565" s="316"/>
    </row>
    <row r="566" spans="2:13" s="129" customFormat="1" ht="18" customHeight="1">
      <c r="B566" s="72" t="s">
        <v>744</v>
      </c>
      <c r="C566" s="72"/>
      <c r="D566" s="72"/>
      <c r="E566" s="73" t="s">
        <v>89</v>
      </c>
      <c r="F566" s="73" t="s">
        <v>45</v>
      </c>
      <c r="G566" s="74"/>
      <c r="H566" s="75"/>
      <c r="I566" s="76"/>
      <c r="J566" s="76"/>
    </row>
    <row r="567" spans="2:13" s="129" customFormat="1" ht="21" customHeight="1">
      <c r="B567" s="140" t="s">
        <v>755</v>
      </c>
      <c r="C567" s="142" t="s">
        <v>71</v>
      </c>
      <c r="D567" s="142">
        <v>99814</v>
      </c>
      <c r="E567" s="148" t="s">
        <v>1144</v>
      </c>
      <c r="F567" s="140" t="s">
        <v>42</v>
      </c>
      <c r="G567" s="146">
        <f>'PLANILHA CÁLCULO'!W13</f>
        <v>812.28</v>
      </c>
      <c r="H567" s="146"/>
      <c r="I567" s="147">
        <f>ROUND(H567*(1+BDI),2)</f>
        <v>0</v>
      </c>
      <c r="J567" s="147">
        <f>ROUND(G567*I567,2)</f>
        <v>0</v>
      </c>
    </row>
    <row r="568" spans="2:13" s="129" customFormat="1" ht="18" customHeight="1">
      <c r="B568" s="72"/>
      <c r="C568" s="72"/>
      <c r="D568" s="72"/>
      <c r="E568" s="73" t="s">
        <v>743</v>
      </c>
      <c r="F568" s="73" t="s">
        <v>45</v>
      </c>
      <c r="G568" s="74"/>
      <c r="H568" s="75"/>
      <c r="I568" s="76"/>
      <c r="J568" s="76">
        <f>SUM(J567:J567)</f>
        <v>0</v>
      </c>
      <c r="L568" s="209"/>
    </row>
    <row r="569" spans="2:13" s="129" customFormat="1" ht="9" customHeight="1">
      <c r="B569" s="130"/>
      <c r="C569" s="130"/>
      <c r="D569" s="130"/>
      <c r="E569" s="131"/>
      <c r="F569" s="131"/>
      <c r="G569" s="132"/>
      <c r="H569" s="133"/>
      <c r="I569" s="134"/>
      <c r="J569" s="134"/>
    </row>
    <row r="570" spans="2:13" s="129" customFormat="1" ht="18" customHeight="1">
      <c r="B570" s="72" t="s">
        <v>745</v>
      </c>
      <c r="C570" s="72"/>
      <c r="D570" s="72"/>
      <c r="E570" s="73" t="s">
        <v>676</v>
      </c>
      <c r="F570" s="73" t="s">
        <v>45</v>
      </c>
      <c r="G570" s="74"/>
      <c r="H570" s="75"/>
      <c r="I570" s="76"/>
      <c r="J570" s="76"/>
    </row>
    <row r="571" spans="2:13" s="129" customFormat="1" ht="18" customHeight="1">
      <c r="B571" s="142" t="s">
        <v>752</v>
      </c>
      <c r="C571" s="142" t="s">
        <v>71</v>
      </c>
      <c r="D571" s="142">
        <v>102488</v>
      </c>
      <c r="E571" s="192" t="s">
        <v>697</v>
      </c>
      <c r="F571" s="142" t="s">
        <v>42</v>
      </c>
      <c r="G571" s="146">
        <f>'PLANILHA CÁLCULO'!W13</f>
        <v>812.28</v>
      </c>
      <c r="H571" s="146"/>
      <c r="I571" s="146">
        <f>ROUND(H571*(1+BDI),2)</f>
        <v>0</v>
      </c>
      <c r="J571" s="146">
        <f>ROUND(G571*I571,2)</f>
        <v>0</v>
      </c>
    </row>
    <row r="572" spans="2:13" s="129" customFormat="1" ht="18" customHeight="1">
      <c r="B572" s="142" t="s">
        <v>753</v>
      </c>
      <c r="C572" s="142" t="s">
        <v>71</v>
      </c>
      <c r="D572" s="142">
        <v>102507</v>
      </c>
      <c r="E572" s="192" t="s">
        <v>683</v>
      </c>
      <c r="F572" s="142" t="s">
        <v>42</v>
      </c>
      <c r="G572" s="146">
        <v>16.3</v>
      </c>
      <c r="H572" s="146"/>
      <c r="I572" s="146">
        <f>ROUND(H572*(1+BDI),2)</f>
        <v>0</v>
      </c>
      <c r="J572" s="146">
        <f>ROUND(G572*I572,2)</f>
        <v>0</v>
      </c>
    </row>
    <row r="573" spans="2:13" s="129" customFormat="1" ht="18" customHeight="1">
      <c r="B573" s="142" t="s">
        <v>754</v>
      </c>
      <c r="C573" s="142" t="s">
        <v>71</v>
      </c>
      <c r="D573" s="142">
        <v>102494</v>
      </c>
      <c r="E573" s="192" t="s">
        <v>698</v>
      </c>
      <c r="F573" s="142" t="s">
        <v>42</v>
      </c>
      <c r="G573" s="146">
        <f>G571</f>
        <v>812.28</v>
      </c>
      <c r="H573" s="146"/>
      <c r="I573" s="146">
        <f>ROUND(H573*(1+BDI),2)</f>
        <v>0</v>
      </c>
      <c r="J573" s="146">
        <f>ROUND(G573*I573,2)</f>
        <v>0</v>
      </c>
    </row>
    <row r="574" spans="2:13" s="129" customFormat="1" ht="18" customHeight="1">
      <c r="B574" s="72"/>
      <c r="C574" s="72"/>
      <c r="D574" s="72"/>
      <c r="E574" s="73" t="s">
        <v>998</v>
      </c>
      <c r="F574" s="73" t="s">
        <v>45</v>
      </c>
      <c r="G574" s="74"/>
      <c r="H574" s="75"/>
      <c r="I574" s="76"/>
      <c r="J574" s="76">
        <f>SUM(J571:J573)</f>
        <v>0</v>
      </c>
      <c r="L574" s="209"/>
      <c r="M574" s="209"/>
    </row>
    <row r="575" spans="2:13" s="129" customFormat="1" ht="9" customHeight="1">
      <c r="B575" s="130"/>
      <c r="C575" s="130"/>
      <c r="D575" s="130"/>
      <c r="E575" s="131"/>
      <c r="F575" s="131"/>
      <c r="G575" s="132"/>
      <c r="H575" s="133"/>
      <c r="I575" s="134"/>
      <c r="J575" s="134"/>
    </row>
    <row r="576" spans="2:13" s="129" customFormat="1" ht="18" customHeight="1">
      <c r="B576" s="72" t="s">
        <v>746</v>
      </c>
      <c r="C576" s="72"/>
      <c r="D576" s="72"/>
      <c r="E576" s="73" t="s">
        <v>67</v>
      </c>
      <c r="F576" s="73" t="s">
        <v>45</v>
      </c>
      <c r="G576" s="74"/>
      <c r="H576" s="75"/>
      <c r="I576" s="76"/>
      <c r="J576" s="76"/>
    </row>
    <row r="577" spans="2:12" s="129" customFormat="1" ht="18" customHeight="1">
      <c r="B577" s="140" t="s">
        <v>748</v>
      </c>
      <c r="C577" s="142" t="s">
        <v>170</v>
      </c>
      <c r="D577" s="142" t="s">
        <v>1133</v>
      </c>
      <c r="E577" s="144" t="s">
        <v>699</v>
      </c>
      <c r="F577" s="145" t="s">
        <v>251</v>
      </c>
      <c r="G577" s="146">
        <v>5</v>
      </c>
      <c r="H577" s="146"/>
      <c r="I577" s="147">
        <f>ROUND(H577*(1+BDI),2)</f>
        <v>0</v>
      </c>
      <c r="J577" s="147">
        <f>ROUND(G577*I577,2)</f>
        <v>0</v>
      </c>
    </row>
    <row r="578" spans="2:12" s="129" customFormat="1" ht="18" customHeight="1">
      <c r="B578" s="140" t="s">
        <v>749</v>
      </c>
      <c r="C578" s="142" t="s">
        <v>71</v>
      </c>
      <c r="D578" s="142">
        <v>91932</v>
      </c>
      <c r="E578" s="144" t="s">
        <v>1143</v>
      </c>
      <c r="F578" s="145" t="s">
        <v>43</v>
      </c>
      <c r="G578" s="146">
        <v>200</v>
      </c>
      <c r="H578" s="146"/>
      <c r="I578" s="147">
        <f>ROUND(H578*(1+BDI),2)</f>
        <v>0</v>
      </c>
      <c r="J578" s="147">
        <f>ROUND(G578*I578,2)</f>
        <v>0</v>
      </c>
    </row>
    <row r="579" spans="2:12" s="129" customFormat="1" ht="18" customHeight="1">
      <c r="B579" s="140" t="s">
        <v>750</v>
      </c>
      <c r="C579" s="142" t="s">
        <v>170</v>
      </c>
      <c r="D579" s="142" t="s">
        <v>692</v>
      </c>
      <c r="E579" s="144" t="s">
        <v>693</v>
      </c>
      <c r="F579" s="145" t="s">
        <v>43</v>
      </c>
      <c r="G579" s="146">
        <v>40</v>
      </c>
      <c r="H579" s="146"/>
      <c r="I579" s="147">
        <f>ROUND(H579*(1+BDI),2)</f>
        <v>0</v>
      </c>
      <c r="J579" s="147">
        <f>ROUND(G579*I579,2)</f>
        <v>0</v>
      </c>
    </row>
    <row r="580" spans="2:12" s="129" customFormat="1" ht="18" customHeight="1">
      <c r="B580" s="140" t="s">
        <v>751</v>
      </c>
      <c r="C580" s="142" t="s">
        <v>691</v>
      </c>
      <c r="D580" s="142" t="s">
        <v>180</v>
      </c>
      <c r="E580" s="144" t="s">
        <v>690</v>
      </c>
      <c r="F580" s="145" t="s">
        <v>251</v>
      </c>
      <c r="G580" s="146">
        <v>3</v>
      </c>
      <c r="H580" s="146"/>
      <c r="I580" s="147">
        <f>ROUND(H580*(1+BDI),2)</f>
        <v>0</v>
      </c>
      <c r="J580" s="147">
        <f>ROUND(G580*I580,2)</f>
        <v>0</v>
      </c>
    </row>
    <row r="581" spans="2:12" s="129" customFormat="1" ht="18" customHeight="1">
      <c r="B581" s="72"/>
      <c r="C581" s="72"/>
      <c r="D581" s="72"/>
      <c r="E581" s="73" t="s">
        <v>747</v>
      </c>
      <c r="F581" s="73" t="s">
        <v>45</v>
      </c>
      <c r="G581" s="74"/>
      <c r="H581" s="75"/>
      <c r="I581" s="76"/>
      <c r="J581" s="76">
        <f>SUM(J577:J580)</f>
        <v>0</v>
      </c>
      <c r="L581" s="209"/>
    </row>
    <row r="582" spans="2:12" s="129" customFormat="1" ht="6" customHeight="1">
      <c r="B582" s="130"/>
      <c r="C582" s="130"/>
      <c r="D582" s="130"/>
      <c r="E582" s="131"/>
      <c r="F582" s="131"/>
      <c r="G582" s="132"/>
      <c r="H582" s="133"/>
      <c r="I582" s="134"/>
      <c r="J582" s="134"/>
    </row>
    <row r="583" spans="2:12" s="129" customFormat="1" ht="18" customHeight="1">
      <c r="B583" s="335" t="s">
        <v>729</v>
      </c>
      <c r="C583" s="335"/>
      <c r="D583" s="335"/>
      <c r="E583" s="335"/>
      <c r="F583" s="335"/>
      <c r="G583" s="335"/>
      <c r="H583" s="335"/>
      <c r="I583" s="335"/>
      <c r="J583" s="169">
        <f>J581+J574+J568</f>
        <v>0</v>
      </c>
    </row>
    <row r="584" spans="2:12" s="129" customFormat="1" ht="7.5" customHeight="1">
      <c r="B584" s="130"/>
      <c r="C584" s="130"/>
      <c r="D584" s="130"/>
      <c r="E584" s="131"/>
      <c r="F584" s="131"/>
      <c r="G584" s="132"/>
      <c r="H584" s="133"/>
      <c r="I584" s="134"/>
      <c r="J584" s="134"/>
    </row>
    <row r="585" spans="2:12" s="129" customFormat="1" ht="18" customHeight="1">
      <c r="B585" s="314" t="s">
        <v>728</v>
      </c>
      <c r="C585" s="315"/>
      <c r="D585" s="315"/>
      <c r="E585" s="315"/>
      <c r="F585" s="315"/>
      <c r="G585" s="315"/>
      <c r="H585" s="315"/>
      <c r="I585" s="315"/>
      <c r="J585" s="316"/>
    </row>
    <row r="586" spans="2:12" s="129" customFormat="1" ht="18" customHeight="1">
      <c r="B586" s="72" t="s">
        <v>756</v>
      </c>
      <c r="C586" s="72"/>
      <c r="D586" s="72"/>
      <c r="E586" s="73" t="s">
        <v>89</v>
      </c>
      <c r="F586" s="73" t="s">
        <v>45</v>
      </c>
      <c r="G586" s="74"/>
      <c r="H586" s="75"/>
      <c r="I586" s="76"/>
      <c r="J586" s="76"/>
    </row>
    <row r="587" spans="2:12" s="129" customFormat="1" ht="18" customHeight="1">
      <c r="B587" s="140" t="s">
        <v>1021</v>
      </c>
      <c r="C587" s="140" t="s">
        <v>71</v>
      </c>
      <c r="D587" s="140">
        <v>97633</v>
      </c>
      <c r="E587" s="148" t="s">
        <v>353</v>
      </c>
      <c r="F587" s="140" t="s">
        <v>42</v>
      </c>
      <c r="G587" s="161">
        <f>'PLANILHA CÁLCULO'!F14+'PLANILHA CÁLCULO'!AL14</f>
        <v>14.165999999999999</v>
      </c>
      <c r="H587" s="146"/>
      <c r="I587" s="147">
        <f>ROUND(H587*(1+BDI),2)</f>
        <v>0</v>
      </c>
      <c r="J587" s="147">
        <f>ROUND(G587*I587,2)</f>
        <v>0</v>
      </c>
    </row>
    <row r="588" spans="2:12" s="129" customFormat="1" ht="30.75" customHeight="1">
      <c r="B588" s="140" t="s">
        <v>1022</v>
      </c>
      <c r="C588" s="142" t="s">
        <v>71</v>
      </c>
      <c r="D588" s="142">
        <v>104790</v>
      </c>
      <c r="E588" s="148" t="s">
        <v>764</v>
      </c>
      <c r="F588" s="140" t="s">
        <v>44</v>
      </c>
      <c r="G588" s="146">
        <f>('PLANILHA CÁLCULO'!F14+'PLANILHA CÁLCULO'!F15)*0.1</f>
        <v>5.6555999999999997</v>
      </c>
      <c r="H588" s="146"/>
      <c r="I588" s="147">
        <f>ROUND(H588*(1+BDI),2)</f>
        <v>0</v>
      </c>
      <c r="J588" s="147">
        <f>ROUND(G588*I588,2)</f>
        <v>0</v>
      </c>
    </row>
    <row r="589" spans="2:12" s="129" customFormat="1" ht="31.5" customHeight="1">
      <c r="B589" s="140" t="s">
        <v>1023</v>
      </c>
      <c r="C589" s="142" t="s">
        <v>71</v>
      </c>
      <c r="D589" s="142">
        <v>96526</v>
      </c>
      <c r="E589" s="148" t="s">
        <v>780</v>
      </c>
      <c r="F589" s="140" t="s">
        <v>44</v>
      </c>
      <c r="G589" s="161">
        <f>10*0.3*0.3</f>
        <v>0.89999999999999991</v>
      </c>
      <c r="H589" s="146"/>
      <c r="I589" s="147">
        <f>ROUND(H589*(1+BDI),2)</f>
        <v>0</v>
      </c>
      <c r="J589" s="147">
        <f>ROUND(G589*I589,2)</f>
        <v>0</v>
      </c>
    </row>
    <row r="590" spans="2:12" s="129" customFormat="1" ht="18" customHeight="1">
      <c r="B590" s="72"/>
      <c r="C590" s="72"/>
      <c r="D590" s="72"/>
      <c r="E590" s="73" t="s">
        <v>757</v>
      </c>
      <c r="F590" s="73" t="s">
        <v>45</v>
      </c>
      <c r="G590" s="74"/>
      <c r="H590" s="75"/>
      <c r="I590" s="76"/>
      <c r="J590" s="76">
        <f>SUM(J587:J589)</f>
        <v>0</v>
      </c>
      <c r="L590" s="209"/>
    </row>
    <row r="591" spans="2:12" s="129" customFormat="1" ht="10.5" customHeight="1">
      <c r="B591" s="130"/>
      <c r="C591" s="130"/>
      <c r="D591" s="130"/>
      <c r="E591" s="131"/>
      <c r="F591" s="131"/>
      <c r="G591" s="132"/>
      <c r="H591" s="133"/>
      <c r="I591" s="134"/>
      <c r="J591" s="134"/>
    </row>
    <row r="592" spans="2:12" s="129" customFormat="1" ht="18" customHeight="1">
      <c r="B592" s="72" t="s">
        <v>1000</v>
      </c>
      <c r="C592" s="72"/>
      <c r="D592" s="72"/>
      <c r="E592" s="73" t="s">
        <v>782</v>
      </c>
      <c r="F592" s="73" t="s">
        <v>45</v>
      </c>
      <c r="G592" s="74"/>
      <c r="H592" s="75"/>
      <c r="I592" s="76"/>
      <c r="J592" s="76"/>
    </row>
    <row r="593" spans="2:10" s="129" customFormat="1" ht="18" customHeight="1">
      <c r="B593" s="140" t="s">
        <v>1024</v>
      </c>
      <c r="C593" s="142" t="s">
        <v>71</v>
      </c>
      <c r="D593" s="143">
        <v>101175</v>
      </c>
      <c r="E593" s="148" t="s">
        <v>855</v>
      </c>
      <c r="F593" s="140" t="s">
        <v>43</v>
      </c>
      <c r="G593" s="146">
        <f>'PLANILHA CÁLCULO'!H14</f>
        <v>12</v>
      </c>
      <c r="H593" s="146"/>
      <c r="I593" s="147">
        <f>ROUND(H593*(1+BDI),2)</f>
        <v>0</v>
      </c>
      <c r="J593" s="147">
        <f t="shared" ref="J593:J602" si="44">ROUND(G593*I593,2)</f>
        <v>0</v>
      </c>
    </row>
    <row r="594" spans="2:10" s="129" customFormat="1" ht="18" customHeight="1">
      <c r="B594" s="140" t="s">
        <v>1025</v>
      </c>
      <c r="C594" s="142" t="s">
        <v>71</v>
      </c>
      <c r="D594" s="143">
        <v>96523</v>
      </c>
      <c r="E594" s="148" t="s">
        <v>783</v>
      </c>
      <c r="F594" s="140" t="s">
        <v>44</v>
      </c>
      <c r="G594" s="146">
        <f>1*1*0.6*4</f>
        <v>2.4</v>
      </c>
      <c r="H594" s="146"/>
      <c r="I594" s="147">
        <f>ROUND(H594*(1+BDI),2)</f>
        <v>0</v>
      </c>
      <c r="J594" s="147">
        <f t="shared" si="44"/>
        <v>0</v>
      </c>
    </row>
    <row r="595" spans="2:10" s="129" customFormat="1" ht="18" customHeight="1">
      <c r="B595" s="140" t="s">
        <v>1026</v>
      </c>
      <c r="C595" s="142" t="s">
        <v>71</v>
      </c>
      <c r="D595" s="142">
        <v>96527</v>
      </c>
      <c r="E595" s="148" t="s">
        <v>784</v>
      </c>
      <c r="F595" s="140" t="s">
        <v>44</v>
      </c>
      <c r="G595" s="161">
        <f>(0.3+0.3)*(2.52+2.52+1.65+1.65)</f>
        <v>5.0039999999999996</v>
      </c>
      <c r="H595" s="146"/>
      <c r="I595" s="147">
        <f>ROUND(H595*(1+BDI),2)</f>
        <v>0</v>
      </c>
      <c r="J595" s="147">
        <f t="shared" si="44"/>
        <v>0</v>
      </c>
    </row>
    <row r="596" spans="2:10" s="129" customFormat="1" ht="18" customHeight="1">
      <c r="B596" s="140" t="s">
        <v>1027</v>
      </c>
      <c r="C596" s="142" t="s">
        <v>71</v>
      </c>
      <c r="D596" s="142">
        <v>96536</v>
      </c>
      <c r="E596" s="148" t="s">
        <v>786</v>
      </c>
      <c r="F596" s="140" t="s">
        <v>42</v>
      </c>
      <c r="G596" s="161">
        <f>'PLANILHA CÁLCULO'!I14+'PLANILHA CÁLCULO'!K14</f>
        <v>14.603999999999999</v>
      </c>
      <c r="H596" s="146"/>
      <c r="I596" s="147">
        <f>ROUND(H596*(1+BDI),2)</f>
        <v>0</v>
      </c>
      <c r="J596" s="147">
        <f t="shared" si="44"/>
        <v>0</v>
      </c>
    </row>
    <row r="597" spans="2:10" s="129" customFormat="1" ht="18" customHeight="1">
      <c r="B597" s="140" t="s">
        <v>1028</v>
      </c>
      <c r="C597" s="142" t="s">
        <v>71</v>
      </c>
      <c r="D597" s="142">
        <v>101616</v>
      </c>
      <c r="E597" s="148" t="s">
        <v>785</v>
      </c>
      <c r="F597" s="140" t="s">
        <v>42</v>
      </c>
      <c r="G597" s="161">
        <f>0.6*0.6*4+(2.52+2.52+1.65+1.65)*0.15</f>
        <v>2.6909999999999998</v>
      </c>
      <c r="H597" s="146"/>
      <c r="I597" s="147">
        <f>ROUND(H597*(1+BDI),2)</f>
        <v>0</v>
      </c>
      <c r="J597" s="147">
        <f t="shared" si="44"/>
        <v>0</v>
      </c>
    </row>
    <row r="598" spans="2:10" s="129" customFormat="1" ht="18" customHeight="1">
      <c r="B598" s="140" t="s">
        <v>1029</v>
      </c>
      <c r="C598" s="142" t="s">
        <v>62</v>
      </c>
      <c r="D598" s="194" t="str">
        <f>COMPOSIÇÕES!C63</f>
        <v>COMP012</v>
      </c>
      <c r="E598" s="144" t="s">
        <v>793</v>
      </c>
      <c r="F598" s="145" t="s">
        <v>44</v>
      </c>
      <c r="G598" s="161">
        <f>'PLANILHA CÁLCULO'!J14+'PLANILHA CÁLCULO'!L14</f>
        <v>1.2393000000000001</v>
      </c>
      <c r="H598" s="146"/>
      <c r="I598" s="147">
        <f>ROUND(H598*(1+BDI),2)</f>
        <v>0</v>
      </c>
      <c r="J598" s="147">
        <f t="shared" si="44"/>
        <v>0</v>
      </c>
    </row>
    <row r="599" spans="2:10" s="129" customFormat="1" ht="18" customHeight="1">
      <c r="B599" s="140" t="s">
        <v>1030</v>
      </c>
      <c r="C599" s="142" t="s">
        <v>71</v>
      </c>
      <c r="D599" s="142">
        <v>96543</v>
      </c>
      <c r="E599" s="148" t="s">
        <v>788</v>
      </c>
      <c r="F599" s="140" t="s">
        <v>88</v>
      </c>
      <c r="G599" s="161">
        <v>15</v>
      </c>
      <c r="H599" s="146"/>
      <c r="I599" s="147">
        <f>ROUND(H599*(1+BDI),2)</f>
        <v>0</v>
      </c>
      <c r="J599" s="147">
        <f t="shared" si="44"/>
        <v>0</v>
      </c>
    </row>
    <row r="600" spans="2:10" s="129" customFormat="1" ht="18" customHeight="1">
      <c r="B600" s="140" t="s">
        <v>1031</v>
      </c>
      <c r="C600" s="142" t="s">
        <v>71</v>
      </c>
      <c r="D600" s="142">
        <v>96544</v>
      </c>
      <c r="E600" s="148" t="s">
        <v>789</v>
      </c>
      <c r="F600" s="140" t="s">
        <v>88</v>
      </c>
      <c r="G600" s="161">
        <v>50</v>
      </c>
      <c r="H600" s="146"/>
      <c r="I600" s="147">
        <f>ROUND(H600*(1+BDI),2)</f>
        <v>0</v>
      </c>
      <c r="J600" s="147">
        <f t="shared" si="44"/>
        <v>0</v>
      </c>
    </row>
    <row r="601" spans="2:10" s="129" customFormat="1" ht="18" customHeight="1">
      <c r="B601" s="140" t="s">
        <v>1032</v>
      </c>
      <c r="C601" s="142" t="s">
        <v>71</v>
      </c>
      <c r="D601" s="142">
        <v>96545</v>
      </c>
      <c r="E601" s="148" t="s">
        <v>790</v>
      </c>
      <c r="F601" s="140" t="s">
        <v>88</v>
      </c>
      <c r="G601" s="161">
        <v>50</v>
      </c>
      <c r="H601" s="146"/>
      <c r="I601" s="147">
        <f>ROUND(H601*(1+BDI),2)</f>
        <v>0</v>
      </c>
      <c r="J601" s="147">
        <f t="shared" si="44"/>
        <v>0</v>
      </c>
    </row>
    <row r="602" spans="2:10" s="129" customFormat="1" ht="18" customHeight="1">
      <c r="B602" s="140" t="s">
        <v>1033</v>
      </c>
      <c r="C602" s="142" t="s">
        <v>71</v>
      </c>
      <c r="D602" s="142">
        <v>93382</v>
      </c>
      <c r="E602" s="148" t="s">
        <v>791</v>
      </c>
      <c r="F602" s="140" t="s">
        <v>44</v>
      </c>
      <c r="G602" s="146">
        <f>(0.15)*(2.52+2.52+1.65+1.65)</f>
        <v>1.2509999999999999</v>
      </c>
      <c r="H602" s="146"/>
      <c r="I602" s="147">
        <f>ROUND(H602*(1+BDI),2)</f>
        <v>0</v>
      </c>
      <c r="J602" s="147">
        <f t="shared" si="44"/>
        <v>0</v>
      </c>
    </row>
    <row r="603" spans="2:10" s="129" customFormat="1" ht="18" customHeight="1">
      <c r="B603" s="140" t="s">
        <v>1034</v>
      </c>
      <c r="C603" s="142" t="s">
        <v>71</v>
      </c>
      <c r="D603" s="142">
        <v>98557</v>
      </c>
      <c r="E603" s="148" t="s">
        <v>792</v>
      </c>
      <c r="F603" s="140" t="s">
        <v>42</v>
      </c>
      <c r="G603" s="146">
        <f>G596</f>
        <v>14.603999999999999</v>
      </c>
      <c r="H603" s="146"/>
      <c r="I603" s="147">
        <f>ROUND(H603*(1+BDI),2)</f>
        <v>0</v>
      </c>
      <c r="J603" s="147">
        <f>ROUND(G603*I603,2)</f>
        <v>0</v>
      </c>
    </row>
    <row r="604" spans="2:10" s="129" customFormat="1" ht="18" customHeight="1">
      <c r="B604" s="72"/>
      <c r="C604" s="72"/>
      <c r="D604" s="72"/>
      <c r="E604" s="73" t="s">
        <v>999</v>
      </c>
      <c r="F604" s="73" t="s">
        <v>45</v>
      </c>
      <c r="G604" s="74"/>
      <c r="H604" s="75"/>
      <c r="I604" s="76"/>
      <c r="J604" s="76">
        <f>SUM(J593:J603)</f>
        <v>0</v>
      </c>
    </row>
    <row r="605" spans="2:10" s="129" customFormat="1" ht="9.75" customHeight="1">
      <c r="B605" s="130"/>
      <c r="C605" s="130"/>
      <c r="D605" s="130"/>
      <c r="E605" s="131"/>
      <c r="F605" s="131"/>
      <c r="G605" s="132"/>
      <c r="H605" s="133"/>
      <c r="I605" s="134"/>
      <c r="J605" s="134"/>
    </row>
    <row r="606" spans="2:10" s="129" customFormat="1" ht="18" customHeight="1">
      <c r="B606" s="72" t="s">
        <v>1005</v>
      </c>
      <c r="C606" s="72"/>
      <c r="D606" s="72"/>
      <c r="E606" s="73" t="s">
        <v>803</v>
      </c>
      <c r="F606" s="73" t="s">
        <v>45</v>
      </c>
      <c r="G606" s="74"/>
      <c r="H606" s="75"/>
      <c r="I606" s="76"/>
      <c r="J606" s="76"/>
    </row>
    <row r="607" spans="2:10" s="129" customFormat="1" ht="18" customHeight="1">
      <c r="B607" s="140" t="s">
        <v>1036</v>
      </c>
      <c r="C607" s="142" t="s">
        <v>71</v>
      </c>
      <c r="D607" s="142">
        <v>92427</v>
      </c>
      <c r="E607" s="148" t="s">
        <v>805</v>
      </c>
      <c r="F607" s="140" t="s">
        <v>42</v>
      </c>
      <c r="G607" s="161">
        <f>'PLANILHA CÁLCULO'!M14</f>
        <v>10.56</v>
      </c>
      <c r="H607" s="146"/>
      <c r="I607" s="147">
        <f>ROUND(H607*(1+BDI),2)</f>
        <v>0</v>
      </c>
      <c r="J607" s="147">
        <f t="shared" ref="J607:J615" si="45">ROUND(G607*I607,2)</f>
        <v>0</v>
      </c>
    </row>
    <row r="608" spans="2:10" s="129" customFormat="1" ht="18" customHeight="1">
      <c r="B608" s="140" t="s">
        <v>1037</v>
      </c>
      <c r="C608" s="142" t="s">
        <v>71</v>
      </c>
      <c r="D608" s="142">
        <v>92463</v>
      </c>
      <c r="E608" s="148" t="s">
        <v>807</v>
      </c>
      <c r="F608" s="140" t="s">
        <v>42</v>
      </c>
      <c r="G608" s="161">
        <f>'PLANILHA CÁLCULO'!O14</f>
        <v>6.1715999999999998</v>
      </c>
      <c r="H608" s="146"/>
      <c r="I608" s="147">
        <f>ROUND(H608*(1+BDI),2)</f>
        <v>0</v>
      </c>
      <c r="J608" s="147">
        <f t="shared" si="45"/>
        <v>0</v>
      </c>
    </row>
    <row r="609" spans="2:10" s="129" customFormat="1" ht="18" customHeight="1">
      <c r="B609" s="140" t="s">
        <v>1038</v>
      </c>
      <c r="C609" s="142" t="s">
        <v>71</v>
      </c>
      <c r="D609" s="142">
        <v>92759</v>
      </c>
      <c r="E609" s="148" t="s">
        <v>809</v>
      </c>
      <c r="F609" s="140" t="s">
        <v>88</v>
      </c>
      <c r="G609" s="161">
        <v>20</v>
      </c>
      <c r="H609" s="146"/>
      <c r="I609" s="147">
        <f>ROUND(H609*(1+BDI),2)</f>
        <v>0</v>
      </c>
      <c r="J609" s="147">
        <f t="shared" si="45"/>
        <v>0</v>
      </c>
    </row>
    <row r="610" spans="2:10" s="129" customFormat="1" ht="18" customHeight="1">
      <c r="B610" s="140" t="s">
        <v>1039</v>
      </c>
      <c r="C610" s="142" t="s">
        <v>71</v>
      </c>
      <c r="D610" s="142">
        <v>92761</v>
      </c>
      <c r="E610" s="148" t="s">
        <v>811</v>
      </c>
      <c r="F610" s="140" t="s">
        <v>88</v>
      </c>
      <c r="G610" s="161">
        <v>35</v>
      </c>
      <c r="H610" s="146"/>
      <c r="I610" s="147">
        <f>ROUND(H610*(1+BDI),2)</f>
        <v>0</v>
      </c>
      <c r="J610" s="147">
        <f t="shared" si="45"/>
        <v>0</v>
      </c>
    </row>
    <row r="611" spans="2:10" s="129" customFormat="1" ht="18" customHeight="1">
      <c r="B611" s="140" t="s">
        <v>1040</v>
      </c>
      <c r="C611" s="142" t="s">
        <v>71</v>
      </c>
      <c r="D611" s="142">
        <v>92762</v>
      </c>
      <c r="E611" s="148" t="s">
        <v>813</v>
      </c>
      <c r="F611" s="140" t="s">
        <v>88</v>
      </c>
      <c r="G611" s="161">
        <v>55</v>
      </c>
      <c r="H611" s="146"/>
      <c r="I611" s="147">
        <f>ROUND(H611*(1+BDI),2)</f>
        <v>0</v>
      </c>
      <c r="J611" s="147">
        <f t="shared" si="45"/>
        <v>0</v>
      </c>
    </row>
    <row r="612" spans="2:10" s="129" customFormat="1" ht="18" customHeight="1">
      <c r="B612" s="140" t="s">
        <v>1041</v>
      </c>
      <c r="C612" s="142" t="s">
        <v>62</v>
      </c>
      <c r="D612" s="194" t="str">
        <f>COMPOSIÇÕES!C70</f>
        <v>COMP013</v>
      </c>
      <c r="E612" s="144" t="s">
        <v>822</v>
      </c>
      <c r="F612" s="145" t="s">
        <v>44</v>
      </c>
      <c r="G612" s="161">
        <f>'PLANILHA CÁLCULO'!N14</f>
        <v>0.504</v>
      </c>
      <c r="H612" s="146"/>
      <c r="I612" s="147">
        <f>ROUND(H612*(1+BDI),2)</f>
        <v>0</v>
      </c>
      <c r="J612" s="147">
        <f t="shared" si="45"/>
        <v>0</v>
      </c>
    </row>
    <row r="613" spans="2:10" s="129" customFormat="1" ht="18" customHeight="1">
      <c r="B613" s="140" t="s">
        <v>1042</v>
      </c>
      <c r="C613" s="142" t="s">
        <v>62</v>
      </c>
      <c r="D613" s="194" t="str">
        <f>COMPOSIÇÕES!C78</f>
        <v>COMP014</v>
      </c>
      <c r="E613" s="144" t="s">
        <v>833</v>
      </c>
      <c r="F613" s="145" t="s">
        <v>44</v>
      </c>
      <c r="G613" s="161">
        <f>'PLANILHA CÁLCULO'!R14+'PLANILHA CÁLCULO'!P14</f>
        <v>0.63971999999999996</v>
      </c>
      <c r="H613" s="146"/>
      <c r="I613" s="147">
        <f>ROUND(H613*(1+BDI),2)</f>
        <v>0</v>
      </c>
      <c r="J613" s="147">
        <f t="shared" si="45"/>
        <v>0</v>
      </c>
    </row>
    <row r="614" spans="2:10" s="129" customFormat="1" ht="18" customHeight="1">
      <c r="B614" s="140" t="s">
        <v>1043</v>
      </c>
      <c r="C614" s="142" t="s">
        <v>71</v>
      </c>
      <c r="D614" s="142">
        <v>101964</v>
      </c>
      <c r="E614" s="144" t="s">
        <v>816</v>
      </c>
      <c r="F614" s="145" t="s">
        <v>42</v>
      </c>
      <c r="G614" s="161">
        <f>'PLANILHA CÁLCULO'!Q14</f>
        <v>5.7887999999999993</v>
      </c>
      <c r="H614" s="146"/>
      <c r="I614" s="147">
        <f>ROUND(H614*(1+BDI),2)</f>
        <v>0</v>
      </c>
      <c r="J614" s="147">
        <f t="shared" si="45"/>
        <v>0</v>
      </c>
    </row>
    <row r="615" spans="2:10" s="129" customFormat="1" ht="18" customHeight="1">
      <c r="B615" s="140" t="s">
        <v>1044</v>
      </c>
      <c r="C615" s="142" t="s">
        <v>71</v>
      </c>
      <c r="D615" s="142">
        <v>101792</v>
      </c>
      <c r="E615" s="144" t="s">
        <v>843</v>
      </c>
      <c r="F615" s="145" t="s">
        <v>44</v>
      </c>
      <c r="G615" s="161">
        <v>10</v>
      </c>
      <c r="H615" s="146"/>
      <c r="I615" s="147">
        <f>ROUND(H615*(1+BDI),2)</f>
        <v>0</v>
      </c>
      <c r="J615" s="147">
        <f t="shared" si="45"/>
        <v>0</v>
      </c>
    </row>
    <row r="616" spans="2:10" s="129" customFormat="1" ht="18" customHeight="1">
      <c r="B616" s="72"/>
      <c r="C616" s="72"/>
      <c r="D616" s="72"/>
      <c r="E616" s="73" t="s">
        <v>1004</v>
      </c>
      <c r="F616" s="73" t="s">
        <v>45</v>
      </c>
      <c r="G616" s="74"/>
      <c r="H616" s="75"/>
      <c r="I616" s="76"/>
      <c r="J616" s="76">
        <f>SUM(J607:J615)</f>
        <v>0</v>
      </c>
    </row>
    <row r="617" spans="2:10" s="129" customFormat="1" ht="6.75" customHeight="1">
      <c r="B617" s="130"/>
      <c r="C617" s="130"/>
      <c r="D617" s="130"/>
      <c r="E617" s="131"/>
      <c r="F617" s="131"/>
      <c r="G617" s="132"/>
      <c r="H617" s="133"/>
      <c r="I617" s="134"/>
      <c r="J617" s="134"/>
    </row>
    <row r="618" spans="2:10" s="129" customFormat="1" ht="18" customHeight="1">
      <c r="B618" s="72" t="s">
        <v>1001</v>
      </c>
      <c r="C618" s="72"/>
      <c r="D618" s="72"/>
      <c r="E618" s="73" t="s">
        <v>817</v>
      </c>
      <c r="F618" s="73" t="s">
        <v>45</v>
      </c>
      <c r="G618" s="74"/>
      <c r="H618" s="75"/>
      <c r="I618" s="76"/>
      <c r="J618" s="76"/>
    </row>
    <row r="619" spans="2:10" s="129" customFormat="1" ht="18" customHeight="1">
      <c r="B619" s="140" t="s">
        <v>1045</v>
      </c>
      <c r="C619" s="142" t="s">
        <v>71</v>
      </c>
      <c r="D619" s="143">
        <v>92580</v>
      </c>
      <c r="E619" s="148" t="s">
        <v>818</v>
      </c>
      <c r="F619" s="140" t="s">
        <v>42</v>
      </c>
      <c r="G619" s="146">
        <f>'PLANILHA CÁLCULO'!Q14</f>
        <v>5.7887999999999993</v>
      </c>
      <c r="H619" s="146"/>
      <c r="I619" s="147">
        <f>ROUND(H619*(1+BDI),2)</f>
        <v>0</v>
      </c>
      <c r="J619" s="147">
        <f t="shared" ref="J619:J622" si="46">ROUND(G619*I619,2)</f>
        <v>0</v>
      </c>
    </row>
    <row r="620" spans="2:10" s="129" customFormat="1" ht="18" customHeight="1">
      <c r="B620" s="140" t="s">
        <v>1046</v>
      </c>
      <c r="C620" s="142" t="s">
        <v>71</v>
      </c>
      <c r="D620" s="143">
        <v>94216</v>
      </c>
      <c r="E620" s="148" t="s">
        <v>819</v>
      </c>
      <c r="F620" s="140" t="s">
        <v>42</v>
      </c>
      <c r="G620" s="146">
        <f>G619</f>
        <v>5.7887999999999993</v>
      </c>
      <c r="H620" s="146"/>
      <c r="I620" s="147">
        <f>ROUND(H620*(1+BDI),2)</f>
        <v>0</v>
      </c>
      <c r="J620" s="147">
        <f t="shared" si="46"/>
        <v>0</v>
      </c>
    </row>
    <row r="621" spans="2:10" s="129" customFormat="1" ht="18" customHeight="1">
      <c r="B621" s="140" t="s">
        <v>1047</v>
      </c>
      <c r="C621" s="142" t="s">
        <v>71</v>
      </c>
      <c r="D621" s="143">
        <v>94231</v>
      </c>
      <c r="E621" s="148" t="s">
        <v>820</v>
      </c>
      <c r="F621" s="140" t="s">
        <v>43</v>
      </c>
      <c r="G621" s="146">
        <f>2.52+1.65+1.65</f>
        <v>5.82</v>
      </c>
      <c r="H621" s="146"/>
      <c r="I621" s="147">
        <f>ROUND(H621*(1+BDI),2)</f>
        <v>0</v>
      </c>
      <c r="J621" s="147">
        <f t="shared" si="46"/>
        <v>0</v>
      </c>
    </row>
    <row r="622" spans="2:10" s="129" customFormat="1" ht="18" customHeight="1">
      <c r="B622" s="140" t="s">
        <v>1048</v>
      </c>
      <c r="C622" s="142" t="s">
        <v>71</v>
      </c>
      <c r="D622" s="143">
        <v>94229</v>
      </c>
      <c r="E622" s="148" t="s">
        <v>821</v>
      </c>
      <c r="F622" s="140" t="s">
        <v>43</v>
      </c>
      <c r="G622" s="146">
        <v>2.52</v>
      </c>
      <c r="H622" s="146"/>
      <c r="I622" s="147">
        <f>ROUND(H622*(1+BDI),2)</f>
        <v>0</v>
      </c>
      <c r="J622" s="147">
        <f t="shared" si="46"/>
        <v>0</v>
      </c>
    </row>
    <row r="623" spans="2:10" s="129" customFormat="1" ht="18" customHeight="1">
      <c r="B623" s="72"/>
      <c r="C623" s="72"/>
      <c r="D623" s="72"/>
      <c r="E623" s="73" t="s">
        <v>1003</v>
      </c>
      <c r="F623" s="73" t="s">
        <v>45</v>
      </c>
      <c r="G623" s="74"/>
      <c r="H623" s="75"/>
      <c r="I623" s="76"/>
      <c r="J623" s="76">
        <f>SUM(J619:J622)</f>
        <v>0</v>
      </c>
    </row>
    <row r="624" spans="2:10" s="129" customFormat="1" ht="7.5" customHeight="1">
      <c r="B624" s="205"/>
      <c r="C624" s="205"/>
      <c r="D624" s="205"/>
      <c r="E624" s="205"/>
      <c r="F624" s="205"/>
      <c r="G624" s="205"/>
      <c r="H624" s="205"/>
      <c r="I624" s="205"/>
      <c r="J624" s="205"/>
    </row>
    <row r="625" spans="2:13" s="129" customFormat="1" ht="18" customHeight="1">
      <c r="B625" s="72" t="s">
        <v>1002</v>
      </c>
      <c r="C625" s="72"/>
      <c r="D625" s="72"/>
      <c r="E625" s="73" t="s">
        <v>123</v>
      </c>
      <c r="F625" s="73" t="s">
        <v>45</v>
      </c>
      <c r="G625" s="74"/>
      <c r="H625" s="75"/>
      <c r="I625" s="76"/>
      <c r="J625" s="76"/>
    </row>
    <row r="626" spans="2:13" s="129" customFormat="1" ht="18" customHeight="1">
      <c r="B626" s="140" t="s">
        <v>1049</v>
      </c>
      <c r="C626" s="140" t="s">
        <v>170</v>
      </c>
      <c r="D626" s="140" t="s">
        <v>171</v>
      </c>
      <c r="E626" s="141" t="s">
        <v>356</v>
      </c>
      <c r="F626" s="140" t="s">
        <v>88</v>
      </c>
      <c r="G626" s="146">
        <v>54</v>
      </c>
      <c r="H626" s="146"/>
      <c r="I626" s="147">
        <f>ROUND(H626*(1+BDI),2)</f>
        <v>0</v>
      </c>
      <c r="J626" s="147">
        <f>ROUND(G626*I626,2)</f>
        <v>0</v>
      </c>
    </row>
    <row r="627" spans="2:13" s="129" customFormat="1" ht="33.75" customHeight="1">
      <c r="B627" s="140" t="s">
        <v>1050</v>
      </c>
      <c r="C627" s="140" t="s">
        <v>71</v>
      </c>
      <c r="D627" s="140">
        <v>101862</v>
      </c>
      <c r="E627" s="141" t="s">
        <v>781</v>
      </c>
      <c r="F627" s="140" t="s">
        <v>42</v>
      </c>
      <c r="G627" s="146">
        <v>20</v>
      </c>
      <c r="H627" s="146"/>
      <c r="I627" s="147">
        <f>ROUND(H627*(1+BDI),2)</f>
        <v>0</v>
      </c>
      <c r="J627" s="147">
        <f>ROUND(G627*I627,2)</f>
        <v>0</v>
      </c>
    </row>
    <row r="628" spans="2:13" s="129" customFormat="1" ht="18" customHeight="1">
      <c r="B628" s="140" t="s">
        <v>1051</v>
      </c>
      <c r="C628" s="140" t="s">
        <v>71</v>
      </c>
      <c r="D628" s="140">
        <v>93382</v>
      </c>
      <c r="E628" s="141" t="s">
        <v>174</v>
      </c>
      <c r="F628" s="140" t="s">
        <v>42</v>
      </c>
      <c r="G628" s="153">
        <f>'PLANILHA CÁLCULO'!F15+'PLANILHA CÁLCULO'!F14</f>
        <v>56.555999999999997</v>
      </c>
      <c r="H628" s="146"/>
      <c r="I628" s="147">
        <f>ROUND(H628*(1+BDI),2)</f>
        <v>0</v>
      </c>
      <c r="J628" s="147">
        <f>ROUND(G628*I628,2)</f>
        <v>0</v>
      </c>
    </row>
    <row r="629" spans="2:13" s="129" customFormat="1" ht="30.75" customHeight="1">
      <c r="B629" s="140" t="s">
        <v>1052</v>
      </c>
      <c r="C629" s="140" t="s">
        <v>71</v>
      </c>
      <c r="D629" s="143">
        <v>88472</v>
      </c>
      <c r="E629" s="144" t="s">
        <v>765</v>
      </c>
      <c r="F629" s="140" t="s">
        <v>42</v>
      </c>
      <c r="G629" s="146">
        <f>'PLANILHA CÁLCULO'!F14</f>
        <v>4.1579999999999995</v>
      </c>
      <c r="H629" s="146"/>
      <c r="I629" s="147">
        <f>ROUND(H629*(1+BDI),2)</f>
        <v>0</v>
      </c>
      <c r="J629" s="147">
        <f>ROUND(G629*I629,2)</f>
        <v>0</v>
      </c>
    </row>
    <row r="630" spans="2:13" s="129" customFormat="1" ht="18" customHeight="1">
      <c r="B630" s="140" t="s">
        <v>1053</v>
      </c>
      <c r="C630" s="140" t="s">
        <v>170</v>
      </c>
      <c r="D630" s="140" t="s">
        <v>169</v>
      </c>
      <c r="E630" s="141" t="s">
        <v>766</v>
      </c>
      <c r="F630" s="140" t="s">
        <v>44</v>
      </c>
      <c r="G630" s="146">
        <f>('PLANILHA CÁLCULO'!F15)*0.1</f>
        <v>5.2397999999999998</v>
      </c>
      <c r="H630" s="146"/>
      <c r="I630" s="147">
        <f>ROUND(H630*(1+BDI),2)</f>
        <v>0</v>
      </c>
      <c r="J630" s="147">
        <f t="shared" ref="J630:J631" si="47">ROUND(G630*I630,2)</f>
        <v>0</v>
      </c>
    </row>
    <row r="631" spans="2:13" s="129" customFormat="1" ht="18" customHeight="1">
      <c r="B631" s="140" t="s">
        <v>1054</v>
      </c>
      <c r="C631" s="140" t="s">
        <v>71</v>
      </c>
      <c r="D631" s="140">
        <v>21141</v>
      </c>
      <c r="E631" s="141" t="s">
        <v>172</v>
      </c>
      <c r="F631" s="140" t="s">
        <v>42</v>
      </c>
      <c r="G631" s="146">
        <f>'PLANILHA CÁLCULO'!F15</f>
        <v>52.397999999999996</v>
      </c>
      <c r="H631" s="146"/>
      <c r="I631" s="147">
        <f>ROUND(H631*(1+BDI),2)</f>
        <v>0</v>
      </c>
      <c r="J631" s="147">
        <f t="shared" si="47"/>
        <v>0</v>
      </c>
    </row>
    <row r="632" spans="2:13" s="129" customFormat="1" ht="33" customHeight="1">
      <c r="B632" s="140" t="s">
        <v>1055</v>
      </c>
      <c r="C632" s="140" t="s">
        <v>71</v>
      </c>
      <c r="D632" s="140">
        <v>87261</v>
      </c>
      <c r="E632" s="141" t="s">
        <v>767</v>
      </c>
      <c r="F632" s="140" t="s">
        <v>42</v>
      </c>
      <c r="G632" s="146">
        <f>'PLANILHA CÁLCULO'!S14</f>
        <v>4.1579999999999995</v>
      </c>
      <c r="H632" s="146"/>
      <c r="I632" s="147">
        <f>ROUND(H632*(1+BDI),2)</f>
        <v>0</v>
      </c>
      <c r="J632" s="147">
        <f>ROUND(G632*I632,2)</f>
        <v>0</v>
      </c>
    </row>
    <row r="633" spans="2:13" s="129" customFormat="1" ht="18" customHeight="1">
      <c r="B633" s="140" t="s">
        <v>1056</v>
      </c>
      <c r="C633" s="142" t="s">
        <v>71</v>
      </c>
      <c r="D633" s="143">
        <v>101727</v>
      </c>
      <c r="E633" s="144" t="s">
        <v>553</v>
      </c>
      <c r="F633" s="145" t="s">
        <v>42</v>
      </c>
      <c r="G633" s="146">
        <f>'PLANILHA CÁLCULO'!F15</f>
        <v>52.397999999999996</v>
      </c>
      <c r="H633" s="146"/>
      <c r="I633" s="147">
        <f>ROUND(H633*(1+BDI),2)</f>
        <v>0</v>
      </c>
      <c r="J633" s="147">
        <f t="shared" ref="J633" si="48">ROUND(G633*I633,2)</f>
        <v>0</v>
      </c>
    </row>
    <row r="634" spans="2:13" s="129" customFormat="1" ht="18" customHeight="1">
      <c r="B634" s="140" t="s">
        <v>1057</v>
      </c>
      <c r="C634" s="142" t="s">
        <v>62</v>
      </c>
      <c r="D634" s="159" t="s">
        <v>63</v>
      </c>
      <c r="E634" s="144" t="s">
        <v>183</v>
      </c>
      <c r="F634" s="145" t="s">
        <v>43</v>
      </c>
      <c r="G634" s="146">
        <f>'PLANILHA CÁLCULO'!E15</f>
        <v>44.650000000000006</v>
      </c>
      <c r="H634" s="146"/>
      <c r="I634" s="147">
        <f>ROUND(H634*(1+BDI),2)</f>
        <v>0</v>
      </c>
      <c r="J634" s="147">
        <f>ROUND(G634*I634,2)</f>
        <v>0</v>
      </c>
    </row>
    <row r="635" spans="2:13" s="129" customFormat="1" ht="18" customHeight="1">
      <c r="B635" s="72"/>
      <c r="C635" s="72"/>
      <c r="D635" s="72"/>
      <c r="E635" s="73" t="s">
        <v>1006</v>
      </c>
      <c r="F635" s="73" t="s">
        <v>45</v>
      </c>
      <c r="G635" s="74"/>
      <c r="H635" s="75"/>
      <c r="I635" s="76"/>
      <c r="J635" s="76">
        <f>SUM(J626:J634)</f>
        <v>0</v>
      </c>
      <c r="M635" s="208"/>
    </row>
    <row r="636" spans="2:13" s="129" customFormat="1" ht="6.75" customHeight="1">
      <c r="B636" s="130"/>
      <c r="C636" s="130"/>
      <c r="D636" s="130"/>
      <c r="E636" s="131"/>
      <c r="F636" s="131"/>
      <c r="G636" s="132"/>
      <c r="H636" s="133"/>
      <c r="I636" s="134"/>
      <c r="J636" s="134"/>
    </row>
    <row r="637" spans="2:13" s="129" customFormat="1" ht="18" customHeight="1">
      <c r="B637" s="72" t="s">
        <v>1007</v>
      </c>
      <c r="C637" s="72"/>
      <c r="D637" s="72"/>
      <c r="E637" s="73" t="s">
        <v>391</v>
      </c>
      <c r="F637" s="73" t="s">
        <v>45</v>
      </c>
      <c r="G637" s="74"/>
      <c r="H637" s="75"/>
      <c r="I637" s="76"/>
      <c r="J637" s="76"/>
    </row>
    <row r="638" spans="2:13" s="129" customFormat="1" ht="18" customHeight="1">
      <c r="B638" s="140" t="s">
        <v>1058</v>
      </c>
      <c r="C638" s="140" t="s">
        <v>170</v>
      </c>
      <c r="D638" s="140" t="s">
        <v>171</v>
      </c>
      <c r="E638" s="141" t="s">
        <v>844</v>
      </c>
      <c r="F638" s="140" t="s">
        <v>88</v>
      </c>
      <c r="G638" s="146">
        <v>36</v>
      </c>
      <c r="H638" s="146"/>
      <c r="I638" s="147">
        <f>ROUND(H638*(1+BDI),2)</f>
        <v>0</v>
      </c>
      <c r="J638" s="147">
        <f>ROUND(G638*I638,2)</f>
        <v>0</v>
      </c>
    </row>
    <row r="639" spans="2:13" s="129" customFormat="1" ht="30" customHeight="1">
      <c r="B639" s="140" t="s">
        <v>1059</v>
      </c>
      <c r="C639" s="140" t="s">
        <v>71</v>
      </c>
      <c r="D639" s="140">
        <v>96361</v>
      </c>
      <c r="E639" s="141" t="s">
        <v>392</v>
      </c>
      <c r="F639" s="140" t="s">
        <v>42</v>
      </c>
      <c r="G639" s="146">
        <f>'PLANILHA CÁLCULO'!AG15</f>
        <v>46.259999999999991</v>
      </c>
      <c r="H639" s="146"/>
      <c r="I639" s="147">
        <f>ROUND(H639*(1+BDI),2)</f>
        <v>0</v>
      </c>
      <c r="J639" s="147">
        <f>ROUND(G639*I639,2)</f>
        <v>0</v>
      </c>
    </row>
    <row r="640" spans="2:13" s="129" customFormat="1" ht="24.75" customHeight="1">
      <c r="B640" s="140" t="s">
        <v>1060</v>
      </c>
      <c r="C640" s="142" t="s">
        <v>71</v>
      </c>
      <c r="D640" s="159" t="s">
        <v>416</v>
      </c>
      <c r="E640" s="144" t="s">
        <v>415</v>
      </c>
      <c r="F640" s="145" t="s">
        <v>42</v>
      </c>
      <c r="G640" s="146">
        <f>'PLANILHA CÁLCULO'!AF14</f>
        <v>33.36</v>
      </c>
      <c r="H640" s="146"/>
      <c r="I640" s="147">
        <f>ROUND(H640*(1+BDI),2)</f>
        <v>0</v>
      </c>
      <c r="J640" s="147">
        <f>ROUND(G640*I640,2)</f>
        <v>0</v>
      </c>
    </row>
    <row r="641" spans="2:14" s="129" customFormat="1" ht="18" customHeight="1">
      <c r="B641" s="72"/>
      <c r="C641" s="72"/>
      <c r="D641" s="72"/>
      <c r="E641" s="73" t="s">
        <v>1008</v>
      </c>
      <c r="F641" s="73" t="s">
        <v>45</v>
      </c>
      <c r="G641" s="74"/>
      <c r="H641" s="75"/>
      <c r="I641" s="76"/>
      <c r="J641" s="76">
        <f>SUM(J638:J640)</f>
        <v>0</v>
      </c>
      <c r="M641" s="209"/>
    </row>
    <row r="642" spans="2:14" s="129" customFormat="1" ht="7.5" customHeight="1">
      <c r="B642" s="130"/>
      <c r="C642" s="130"/>
      <c r="D642" s="130"/>
      <c r="E642" s="131"/>
      <c r="F642" s="131"/>
      <c r="G642" s="132"/>
      <c r="H642" s="133"/>
      <c r="I642" s="134"/>
      <c r="J642" s="134"/>
    </row>
    <row r="643" spans="2:14" s="129" customFormat="1" ht="18" customHeight="1">
      <c r="B643" s="72" t="s">
        <v>1009</v>
      </c>
      <c r="C643" s="72"/>
      <c r="D643" s="72"/>
      <c r="E643" s="73" t="s">
        <v>411</v>
      </c>
      <c r="F643" s="73" t="s">
        <v>45</v>
      </c>
      <c r="G643" s="74"/>
      <c r="H643" s="75"/>
      <c r="I643" s="76"/>
      <c r="J643" s="76"/>
    </row>
    <row r="644" spans="2:14" s="129" customFormat="1" ht="20.25" customHeight="1">
      <c r="B644" s="140" t="s">
        <v>1061</v>
      </c>
      <c r="C644" s="140" t="s">
        <v>170</v>
      </c>
      <c r="D644" s="140" t="s">
        <v>1132</v>
      </c>
      <c r="E644" s="141" t="s">
        <v>414</v>
      </c>
      <c r="F644" s="140" t="s">
        <v>251</v>
      </c>
      <c r="G644" s="146">
        <v>20</v>
      </c>
      <c r="H644" s="146"/>
      <c r="I644" s="146">
        <f>ROUND(H644*(1+BDI),2)</f>
        <v>0</v>
      </c>
      <c r="J644" s="146">
        <f>ROUND(G644*I644,2)</f>
        <v>0</v>
      </c>
    </row>
    <row r="645" spans="2:14" s="129" customFormat="1" ht="18" customHeight="1">
      <c r="B645" s="140" t="s">
        <v>1062</v>
      </c>
      <c r="C645" s="142" t="s">
        <v>71</v>
      </c>
      <c r="D645" s="143" t="s">
        <v>412</v>
      </c>
      <c r="E645" s="148" t="s">
        <v>413</v>
      </c>
      <c r="F645" s="140" t="s">
        <v>42</v>
      </c>
      <c r="G645" s="146">
        <f>G640*2</f>
        <v>66.72</v>
      </c>
      <c r="H645" s="146"/>
      <c r="I645" s="147">
        <f>ROUND(H645*(1+BDI),2)</f>
        <v>0</v>
      </c>
      <c r="J645" s="147">
        <f>ROUND(G645*I645,2)</f>
        <v>0</v>
      </c>
    </row>
    <row r="646" spans="2:14" s="129" customFormat="1" ht="32.25" customHeight="1">
      <c r="B646" s="140" t="s">
        <v>1063</v>
      </c>
      <c r="C646" s="140" t="s">
        <v>71</v>
      </c>
      <c r="D646" s="140">
        <v>87529</v>
      </c>
      <c r="E646" s="141" t="s">
        <v>417</v>
      </c>
      <c r="F646" s="140" t="s">
        <v>42</v>
      </c>
      <c r="G646" s="146">
        <f>'PLANILHA CÁLCULO'!E14*1.8+'PLANILHA CÁLCULO'!AF14</f>
        <v>48.372</v>
      </c>
      <c r="H646" s="146"/>
      <c r="I646" s="147">
        <f>ROUND(H646*(1+BDI),2)</f>
        <v>0</v>
      </c>
      <c r="J646" s="147">
        <f>ROUND(G646*I646,2)</f>
        <v>0</v>
      </c>
    </row>
    <row r="647" spans="2:14" s="129" customFormat="1" ht="18" customHeight="1">
      <c r="B647" s="140" t="s">
        <v>1064</v>
      </c>
      <c r="C647" s="140" t="s">
        <v>71</v>
      </c>
      <c r="D647" s="140">
        <v>87527</v>
      </c>
      <c r="E647" s="141" t="s">
        <v>666</v>
      </c>
      <c r="F647" s="140" t="s">
        <v>42</v>
      </c>
      <c r="G647" s="146">
        <f>'PLANILHA CÁLCULO'!AL14</f>
        <v>10.007999999999999</v>
      </c>
      <c r="H647" s="146"/>
      <c r="I647" s="147">
        <f>ROUND(H647*(1+BDI),2)</f>
        <v>0</v>
      </c>
      <c r="J647" s="147">
        <f>ROUND(G647*I647,2)</f>
        <v>0</v>
      </c>
    </row>
    <row r="648" spans="2:14" s="129" customFormat="1" ht="18" customHeight="1">
      <c r="B648" s="140" t="s">
        <v>1065</v>
      </c>
      <c r="C648" s="142" t="s">
        <v>71</v>
      </c>
      <c r="D648" s="159" t="s">
        <v>665</v>
      </c>
      <c r="E648" s="144" t="s">
        <v>664</v>
      </c>
      <c r="F648" s="145" t="s">
        <v>42</v>
      </c>
      <c r="G648" s="146">
        <f>G647</f>
        <v>10.007999999999999</v>
      </c>
      <c r="H648" s="146"/>
      <c r="I648" s="147">
        <f>ROUND(H648*(1+BDI),2)</f>
        <v>0</v>
      </c>
      <c r="J648" s="147">
        <f>ROUND(G648*I648,2)</f>
        <v>0</v>
      </c>
    </row>
    <row r="649" spans="2:14" s="129" customFormat="1" ht="18" customHeight="1">
      <c r="B649" s="72"/>
      <c r="C649" s="72"/>
      <c r="D649" s="72"/>
      <c r="E649" s="73" t="s">
        <v>1020</v>
      </c>
      <c r="F649" s="73" t="s">
        <v>45</v>
      </c>
      <c r="G649" s="74"/>
      <c r="H649" s="75"/>
      <c r="I649" s="76"/>
      <c r="J649" s="76">
        <f>SUM(J644:J648)</f>
        <v>0</v>
      </c>
      <c r="N649" s="209"/>
    </row>
    <row r="650" spans="2:14" s="129" customFormat="1" ht="6.75" customHeight="1">
      <c r="B650" s="205"/>
      <c r="C650" s="205"/>
      <c r="D650" s="205"/>
      <c r="E650" s="205"/>
      <c r="F650" s="205"/>
      <c r="G650" s="205"/>
      <c r="H650" s="205"/>
      <c r="I650" s="205"/>
      <c r="J650" s="205"/>
    </row>
    <row r="651" spans="2:14" s="129" customFormat="1" ht="15.75" customHeight="1">
      <c r="B651" s="72" t="s">
        <v>1010</v>
      </c>
      <c r="C651" s="72"/>
      <c r="D651" s="72"/>
      <c r="E651" s="73" t="s">
        <v>405</v>
      </c>
      <c r="F651" s="73" t="s">
        <v>45</v>
      </c>
      <c r="G651" s="74"/>
      <c r="H651" s="75"/>
      <c r="I651" s="76"/>
      <c r="J651" s="76"/>
    </row>
    <row r="652" spans="2:14" s="129" customFormat="1" ht="15.75" customHeight="1">
      <c r="B652" s="154" t="s">
        <v>1066</v>
      </c>
      <c r="C652" s="155" t="s">
        <v>170</v>
      </c>
      <c r="D652" s="160" t="s">
        <v>437</v>
      </c>
      <c r="E652" s="156" t="s">
        <v>406</v>
      </c>
      <c r="F652" s="157" t="s">
        <v>43</v>
      </c>
      <c r="G652" s="158">
        <f>0.65</f>
        <v>0.65</v>
      </c>
      <c r="H652" s="158"/>
      <c r="I652" s="147">
        <f>ROUND(H652*(1+BDI),2)</f>
        <v>0</v>
      </c>
      <c r="J652" s="147">
        <f t="shared" ref="J652:J653" si="49">ROUND(G652*I652,2)</f>
        <v>0</v>
      </c>
    </row>
    <row r="653" spans="2:14" s="129" customFormat="1" ht="15.75" customHeight="1">
      <c r="B653" s="154" t="s">
        <v>1067</v>
      </c>
      <c r="C653" s="155" t="s">
        <v>170</v>
      </c>
      <c r="D653" s="160" t="s">
        <v>437</v>
      </c>
      <c r="E653" s="156" t="s">
        <v>407</v>
      </c>
      <c r="F653" s="157" t="s">
        <v>43</v>
      </c>
      <c r="G653" s="158">
        <v>0.85</v>
      </c>
      <c r="H653" s="158"/>
      <c r="I653" s="147">
        <f>ROUND(H653*(1+BDI),2)</f>
        <v>0</v>
      </c>
      <c r="J653" s="147">
        <f t="shared" si="49"/>
        <v>0</v>
      </c>
    </row>
    <row r="654" spans="2:14" s="129" customFormat="1" ht="15.75" customHeight="1">
      <c r="B654" s="72"/>
      <c r="C654" s="72"/>
      <c r="D654" s="72"/>
      <c r="E654" s="73" t="s">
        <v>1019</v>
      </c>
      <c r="F654" s="73" t="s">
        <v>45</v>
      </c>
      <c r="G654" s="74"/>
      <c r="H654" s="75"/>
      <c r="I654" s="76"/>
      <c r="J654" s="76">
        <f>SUM(J652:J653)</f>
        <v>0</v>
      </c>
    </row>
    <row r="655" spans="2:14" s="129" customFormat="1" ht="6.75" customHeight="1">
      <c r="B655" s="205"/>
      <c r="C655" s="205"/>
      <c r="D655" s="205"/>
      <c r="E655" s="205"/>
      <c r="F655" s="205"/>
      <c r="G655" s="205"/>
      <c r="H655" s="205"/>
      <c r="I655" s="205"/>
      <c r="J655" s="205"/>
    </row>
    <row r="656" spans="2:14" s="129" customFormat="1" ht="18" customHeight="1">
      <c r="B656" s="72" t="s">
        <v>1011</v>
      </c>
      <c r="C656" s="72"/>
      <c r="D656" s="72"/>
      <c r="E656" s="73" t="s">
        <v>121</v>
      </c>
      <c r="F656" s="73" t="s">
        <v>45</v>
      </c>
      <c r="G656" s="74"/>
      <c r="H656" s="75"/>
      <c r="I656" s="76"/>
      <c r="J656" s="76"/>
    </row>
    <row r="657" spans="2:13" s="129" customFormat="1" ht="18" customHeight="1">
      <c r="B657" s="140" t="s">
        <v>1068</v>
      </c>
      <c r="C657" s="142" t="s">
        <v>170</v>
      </c>
      <c r="D657" s="159" t="s">
        <v>189</v>
      </c>
      <c r="E657" s="144" t="s">
        <v>1120</v>
      </c>
      <c r="F657" s="145" t="s">
        <v>42</v>
      </c>
      <c r="G657" s="146">
        <f>0.8*2.1*2</f>
        <v>3.3600000000000003</v>
      </c>
      <c r="H657" s="146"/>
      <c r="I657" s="147">
        <f>ROUND(H657*(1+BDI),2)</f>
        <v>0</v>
      </c>
      <c r="J657" s="147">
        <f>ROUND(G657*I657,2)</f>
        <v>0</v>
      </c>
    </row>
    <row r="658" spans="2:13" s="129" customFormat="1" ht="18" customHeight="1">
      <c r="B658" s="140" t="s">
        <v>1069</v>
      </c>
      <c r="C658" s="142" t="s">
        <v>170</v>
      </c>
      <c r="D658" s="159" t="s">
        <v>189</v>
      </c>
      <c r="E658" s="144" t="s">
        <v>1121</v>
      </c>
      <c r="F658" s="145" t="s">
        <v>42</v>
      </c>
      <c r="G658" s="146">
        <f>1.5*2.1</f>
        <v>3.1500000000000004</v>
      </c>
      <c r="H658" s="146"/>
      <c r="I658" s="147">
        <f>ROUND(H658*(1+BDI),2)</f>
        <v>0</v>
      </c>
      <c r="J658" s="147">
        <f>ROUND(G658*I658,2)</f>
        <v>0</v>
      </c>
    </row>
    <row r="659" spans="2:13" s="129" customFormat="1" ht="18" customHeight="1">
      <c r="B659" s="140" t="s">
        <v>1070</v>
      </c>
      <c r="C659" s="142" t="s">
        <v>71</v>
      </c>
      <c r="D659" s="143">
        <v>102162</v>
      </c>
      <c r="E659" s="144" t="s">
        <v>401</v>
      </c>
      <c r="F659" s="145" t="s">
        <v>42</v>
      </c>
      <c r="G659" s="146">
        <f>G657+G658</f>
        <v>6.5100000000000007</v>
      </c>
      <c r="H659" s="146"/>
      <c r="I659" s="147">
        <f>ROUND(H659*(1+BDI),2)</f>
        <v>0</v>
      </c>
      <c r="J659" s="147">
        <f>ROUND(G659*I659,2)</f>
        <v>0</v>
      </c>
    </row>
    <row r="660" spans="2:13" s="129" customFormat="1" ht="18" customHeight="1">
      <c r="B660" s="140" t="s">
        <v>1071</v>
      </c>
      <c r="C660" s="142" t="s">
        <v>71</v>
      </c>
      <c r="D660" s="143">
        <v>94569</v>
      </c>
      <c r="E660" s="144" t="s">
        <v>771</v>
      </c>
      <c r="F660" s="145" t="s">
        <v>42</v>
      </c>
      <c r="G660" s="146">
        <f>0.6*0.6</f>
        <v>0.36</v>
      </c>
      <c r="H660" s="146"/>
      <c r="I660" s="147">
        <f>ROUND(H660*(1+BDI),2)</f>
        <v>0</v>
      </c>
      <c r="J660" s="147">
        <f>ROUND(G660*I660,2)</f>
        <v>0</v>
      </c>
    </row>
    <row r="661" spans="2:13" s="129" customFormat="1" ht="18" customHeight="1">
      <c r="B661" s="140" t="s">
        <v>1122</v>
      </c>
      <c r="C661" s="142" t="s">
        <v>71</v>
      </c>
      <c r="D661" s="143">
        <v>94589</v>
      </c>
      <c r="E661" s="144" t="s">
        <v>772</v>
      </c>
      <c r="F661" s="145" t="s">
        <v>43</v>
      </c>
      <c r="G661" s="146">
        <f>0.6+0.6+0.6+0.6</f>
        <v>2.4</v>
      </c>
      <c r="H661" s="146"/>
      <c r="I661" s="147">
        <f>ROUND(H661*(1+BDI),2)</f>
        <v>0</v>
      </c>
      <c r="J661" s="147">
        <f>ROUND(G661*I661,2)</f>
        <v>0</v>
      </c>
    </row>
    <row r="662" spans="2:13" s="129" customFormat="1" ht="18" customHeight="1">
      <c r="B662" s="72"/>
      <c r="C662" s="72"/>
      <c r="D662" s="72"/>
      <c r="E662" s="73" t="s">
        <v>1018</v>
      </c>
      <c r="F662" s="73" t="s">
        <v>45</v>
      </c>
      <c r="G662" s="74"/>
      <c r="H662" s="75"/>
      <c r="I662" s="76"/>
      <c r="J662" s="76">
        <f>SUM(J657:J661)</f>
        <v>0</v>
      </c>
      <c r="M662" s="209"/>
    </row>
    <row r="663" spans="2:13" s="129" customFormat="1" ht="7.5" customHeight="1">
      <c r="B663" s="205"/>
      <c r="C663" s="205"/>
      <c r="D663" s="205"/>
      <c r="E663" s="205"/>
      <c r="F663" s="205"/>
      <c r="G663" s="205"/>
      <c r="H663" s="205"/>
      <c r="I663" s="205"/>
      <c r="J663" s="205"/>
    </row>
    <row r="664" spans="2:13" s="129" customFormat="1" ht="18" customHeight="1">
      <c r="B664" s="72" t="s">
        <v>1012</v>
      </c>
      <c r="C664" s="72"/>
      <c r="D664" s="72"/>
      <c r="E664" s="73" t="s">
        <v>110</v>
      </c>
      <c r="F664" s="73" t="s">
        <v>45</v>
      </c>
      <c r="G664" s="74"/>
      <c r="H664" s="75"/>
      <c r="I664" s="76"/>
      <c r="J664" s="76"/>
    </row>
    <row r="665" spans="2:13" s="129" customFormat="1" ht="18" customHeight="1">
      <c r="B665" s="142" t="s">
        <v>1072</v>
      </c>
      <c r="C665" s="142" t="s">
        <v>62</v>
      </c>
      <c r="D665" s="142" t="s">
        <v>84</v>
      </c>
      <c r="E665" s="192" t="s">
        <v>340</v>
      </c>
      <c r="F665" s="142" t="s">
        <v>42</v>
      </c>
      <c r="G665" s="193">
        <f>'PLANILHA CÁLCULO'!AH14+'PLANILHA CÁLCULO'!AH15</f>
        <v>228.447</v>
      </c>
      <c r="H665" s="146"/>
      <c r="I665" s="147">
        <f>ROUND(H665*(1+BDI),2)</f>
        <v>0</v>
      </c>
      <c r="J665" s="147">
        <f t="shared" ref="J665:J672" si="50">ROUND(G665*I665,2)</f>
        <v>0</v>
      </c>
    </row>
    <row r="666" spans="2:13" s="129" customFormat="1" ht="18" customHeight="1">
      <c r="B666" s="142" t="s">
        <v>1073</v>
      </c>
      <c r="C666" s="142" t="s">
        <v>62</v>
      </c>
      <c r="D666" s="142" t="s">
        <v>118</v>
      </c>
      <c r="E666" s="192" t="s">
        <v>339</v>
      </c>
      <c r="F666" s="142" t="s">
        <v>42</v>
      </c>
      <c r="G666" s="193">
        <f>'PLANILHA CÁLCULO'!F14</f>
        <v>4.1579999999999995</v>
      </c>
      <c r="H666" s="146"/>
      <c r="I666" s="147">
        <f>ROUND(H666*(1+BDI),2)</f>
        <v>0</v>
      </c>
      <c r="J666" s="147">
        <f t="shared" si="50"/>
        <v>0</v>
      </c>
    </row>
    <row r="667" spans="2:13" s="129" customFormat="1" ht="18" customHeight="1">
      <c r="B667" s="142" t="s">
        <v>1074</v>
      </c>
      <c r="C667" s="142" t="s">
        <v>71</v>
      </c>
      <c r="D667" s="142">
        <v>88485</v>
      </c>
      <c r="E667" s="192" t="s">
        <v>337</v>
      </c>
      <c r="F667" s="142" t="s">
        <v>42</v>
      </c>
      <c r="G667" s="193">
        <f>G665</f>
        <v>228.447</v>
      </c>
      <c r="H667" s="146"/>
      <c r="I667" s="147">
        <f>ROUND(H667*(1+BDI),2)</f>
        <v>0</v>
      </c>
      <c r="J667" s="147">
        <f t="shared" si="50"/>
        <v>0</v>
      </c>
    </row>
    <row r="668" spans="2:13" s="129" customFormat="1" ht="18" customHeight="1">
      <c r="B668" s="142" t="s">
        <v>1075</v>
      </c>
      <c r="C668" s="142" t="s">
        <v>71</v>
      </c>
      <c r="D668" s="142">
        <v>88484</v>
      </c>
      <c r="E668" s="192" t="s">
        <v>338</v>
      </c>
      <c r="F668" s="142" t="s">
        <v>42</v>
      </c>
      <c r="G668" s="193">
        <f>G666</f>
        <v>4.1579999999999995</v>
      </c>
      <c r="H668" s="146"/>
      <c r="I668" s="147">
        <f>ROUND(H668*(1+BDI),2)</f>
        <v>0</v>
      </c>
      <c r="J668" s="147">
        <f t="shared" si="50"/>
        <v>0</v>
      </c>
    </row>
    <row r="669" spans="2:13" s="129" customFormat="1" ht="18" customHeight="1">
      <c r="B669" s="142" t="s">
        <v>1076</v>
      </c>
      <c r="C669" s="142" t="s">
        <v>71</v>
      </c>
      <c r="D669" s="142">
        <v>88497</v>
      </c>
      <c r="E669" s="144" t="s">
        <v>111</v>
      </c>
      <c r="F669" s="145" t="s">
        <v>42</v>
      </c>
      <c r="G669" s="146">
        <f>G665</f>
        <v>228.447</v>
      </c>
      <c r="H669" s="146"/>
      <c r="I669" s="147">
        <f>ROUND(H669*(1+BDI),2)</f>
        <v>0</v>
      </c>
      <c r="J669" s="147">
        <f t="shared" si="50"/>
        <v>0</v>
      </c>
    </row>
    <row r="670" spans="2:13" s="129" customFormat="1" ht="18" customHeight="1">
      <c r="B670" s="142" t="s">
        <v>1077</v>
      </c>
      <c r="C670" s="142" t="s">
        <v>71</v>
      </c>
      <c r="D670" s="142">
        <v>88496</v>
      </c>
      <c r="E670" s="144" t="s">
        <v>112</v>
      </c>
      <c r="F670" s="145" t="s">
        <v>42</v>
      </c>
      <c r="G670" s="146">
        <f>G666</f>
        <v>4.1579999999999995</v>
      </c>
      <c r="H670" s="146"/>
      <c r="I670" s="147">
        <f>ROUND(H670*(1+BDI),2)</f>
        <v>0</v>
      </c>
      <c r="J670" s="147">
        <f t="shared" si="50"/>
        <v>0</v>
      </c>
    </row>
    <row r="671" spans="2:13" s="129" customFormat="1" ht="18" customHeight="1">
      <c r="B671" s="142" t="s">
        <v>1114</v>
      </c>
      <c r="C671" s="142" t="s">
        <v>71</v>
      </c>
      <c r="D671" s="142">
        <v>88489</v>
      </c>
      <c r="E671" s="144" t="s">
        <v>98</v>
      </c>
      <c r="F671" s="145" t="s">
        <v>42</v>
      </c>
      <c r="G671" s="146">
        <f>G665</f>
        <v>228.447</v>
      </c>
      <c r="H671" s="146"/>
      <c r="I671" s="147">
        <f>ROUND(H671*(1+BDI),2)</f>
        <v>0</v>
      </c>
      <c r="J671" s="147">
        <f t="shared" si="50"/>
        <v>0</v>
      </c>
    </row>
    <row r="672" spans="2:13" s="129" customFormat="1" ht="18" customHeight="1">
      <c r="B672" s="142" t="s">
        <v>1115</v>
      </c>
      <c r="C672" s="142" t="s">
        <v>71</v>
      </c>
      <c r="D672" s="142">
        <v>88488</v>
      </c>
      <c r="E672" s="144" t="s">
        <v>91</v>
      </c>
      <c r="F672" s="145" t="s">
        <v>42</v>
      </c>
      <c r="G672" s="146">
        <f>G666</f>
        <v>4.1579999999999995</v>
      </c>
      <c r="H672" s="146"/>
      <c r="I672" s="147">
        <f>ROUND(H672*(1+BDI),2)</f>
        <v>0</v>
      </c>
      <c r="J672" s="147">
        <f t="shared" si="50"/>
        <v>0</v>
      </c>
    </row>
    <row r="673" spans="2:12" s="129" customFormat="1" ht="18" customHeight="1">
      <c r="B673" s="72"/>
      <c r="C673" s="72"/>
      <c r="D673" s="72"/>
      <c r="E673" s="73" t="s">
        <v>1017</v>
      </c>
      <c r="F673" s="73" t="s">
        <v>45</v>
      </c>
      <c r="G673" s="74"/>
      <c r="H673" s="75"/>
      <c r="I673" s="76"/>
      <c r="J673" s="76">
        <f>SUM(J665:J672)</f>
        <v>0</v>
      </c>
      <c r="L673" s="209"/>
    </row>
    <row r="674" spans="2:12" s="129" customFormat="1" ht="7.5" customHeight="1">
      <c r="B674" s="130"/>
      <c r="C674" s="130"/>
      <c r="D674" s="130"/>
      <c r="E674" s="131"/>
      <c r="F674" s="131"/>
      <c r="G674" s="132"/>
      <c r="H674" s="133"/>
      <c r="I674" s="134"/>
      <c r="J674" s="134"/>
    </row>
    <row r="675" spans="2:12" s="129" customFormat="1" ht="18" customHeight="1">
      <c r="B675" s="72" t="s">
        <v>1013</v>
      </c>
      <c r="C675" s="72"/>
      <c r="D675" s="72"/>
      <c r="E675" s="73" t="s">
        <v>449</v>
      </c>
      <c r="F675" s="73" t="s">
        <v>45</v>
      </c>
      <c r="G675" s="74"/>
      <c r="H675" s="75"/>
      <c r="I675" s="76"/>
      <c r="J675" s="76"/>
    </row>
    <row r="676" spans="2:12" s="129" customFormat="1" ht="18" customHeight="1">
      <c r="B676" s="140" t="s">
        <v>1078</v>
      </c>
      <c r="C676" s="142" t="s">
        <v>71</v>
      </c>
      <c r="D676" s="143">
        <v>89402</v>
      </c>
      <c r="E676" s="148" t="s">
        <v>450</v>
      </c>
      <c r="F676" s="140" t="s">
        <v>43</v>
      </c>
      <c r="G676" s="146">
        <v>15</v>
      </c>
      <c r="H676" s="146"/>
      <c r="I676" s="147">
        <f>ROUND(H676*(1+BDI),2)</f>
        <v>0</v>
      </c>
      <c r="J676" s="147">
        <f t="shared" ref="J676:J680" si="51">ROUND(G676*I676,2)</f>
        <v>0</v>
      </c>
    </row>
    <row r="677" spans="2:12" s="129" customFormat="1" ht="18" customHeight="1">
      <c r="B677" s="140" t="s">
        <v>1079</v>
      </c>
      <c r="C677" s="142" t="s">
        <v>71</v>
      </c>
      <c r="D677" s="143">
        <v>89481</v>
      </c>
      <c r="E677" s="148" t="s">
        <v>451</v>
      </c>
      <c r="F677" s="140" t="s">
        <v>72</v>
      </c>
      <c r="G677" s="146">
        <v>3</v>
      </c>
      <c r="H677" s="146"/>
      <c r="I677" s="147">
        <f>ROUND(H677*(1+BDI),2)</f>
        <v>0</v>
      </c>
      <c r="J677" s="147">
        <f t="shared" si="51"/>
        <v>0</v>
      </c>
    </row>
    <row r="678" spans="2:12" s="129" customFormat="1" ht="18" customHeight="1">
      <c r="B678" s="140" t="s">
        <v>1110</v>
      </c>
      <c r="C678" s="142" t="s">
        <v>71</v>
      </c>
      <c r="D678" s="143">
        <v>89617</v>
      </c>
      <c r="E678" s="148" t="s">
        <v>452</v>
      </c>
      <c r="F678" s="140" t="s">
        <v>72</v>
      </c>
      <c r="G678" s="146">
        <v>3</v>
      </c>
      <c r="H678" s="146"/>
      <c r="I678" s="147">
        <f>ROUND(H678*(1+BDI),2)</f>
        <v>0</v>
      </c>
      <c r="J678" s="147">
        <f t="shared" si="51"/>
        <v>0</v>
      </c>
    </row>
    <row r="679" spans="2:12" s="129" customFormat="1" ht="18" customHeight="1">
      <c r="B679" s="140" t="s">
        <v>1111</v>
      </c>
      <c r="C679" s="142" t="s">
        <v>71</v>
      </c>
      <c r="D679" s="143">
        <v>89987</v>
      </c>
      <c r="E679" s="148" t="s">
        <v>453</v>
      </c>
      <c r="F679" s="140" t="s">
        <v>72</v>
      </c>
      <c r="G679" s="146">
        <v>1</v>
      </c>
      <c r="H679" s="146"/>
      <c r="I679" s="147">
        <f>ROUND(H679*(1+BDI),2)</f>
        <v>0</v>
      </c>
      <c r="J679" s="147">
        <f t="shared" si="51"/>
        <v>0</v>
      </c>
    </row>
    <row r="680" spans="2:12" s="129" customFormat="1" ht="18" customHeight="1">
      <c r="B680" s="140" t="s">
        <v>1112</v>
      </c>
      <c r="C680" s="142" t="s">
        <v>71</v>
      </c>
      <c r="D680" s="143">
        <v>89366</v>
      </c>
      <c r="E680" s="148" t="s">
        <v>483</v>
      </c>
      <c r="F680" s="140" t="s">
        <v>72</v>
      </c>
      <c r="G680" s="146">
        <v>3</v>
      </c>
      <c r="H680" s="146"/>
      <c r="I680" s="147">
        <f>ROUND(H680*(1+BDI),2)</f>
        <v>0</v>
      </c>
      <c r="J680" s="147">
        <f t="shared" si="51"/>
        <v>0</v>
      </c>
    </row>
    <row r="681" spans="2:12" s="129" customFormat="1" ht="18" customHeight="1">
      <c r="B681" s="140" t="s">
        <v>1113</v>
      </c>
      <c r="C681" s="142" t="s">
        <v>71</v>
      </c>
      <c r="D681" s="143">
        <v>89385</v>
      </c>
      <c r="E681" s="148" t="s">
        <v>484</v>
      </c>
      <c r="F681" s="140" t="s">
        <v>72</v>
      </c>
      <c r="G681" s="146">
        <v>4</v>
      </c>
      <c r="H681" s="146"/>
      <c r="I681" s="147">
        <f>ROUND(H681*(1+BDI),2)</f>
        <v>0</v>
      </c>
      <c r="J681" s="147">
        <f>ROUND(G681*I681,2)</f>
        <v>0</v>
      </c>
    </row>
    <row r="682" spans="2:12" s="129" customFormat="1" ht="18" customHeight="1">
      <c r="B682" s="72"/>
      <c r="C682" s="72"/>
      <c r="D682" s="72"/>
      <c r="E682" s="73" t="s">
        <v>1016</v>
      </c>
      <c r="F682" s="73" t="s">
        <v>45</v>
      </c>
      <c r="G682" s="74"/>
      <c r="H682" s="75"/>
      <c r="I682" s="76"/>
      <c r="J682" s="76">
        <f>SUM(J676:J681)</f>
        <v>0</v>
      </c>
      <c r="L682" s="209"/>
    </row>
    <row r="683" spans="2:12" s="129" customFormat="1" ht="7.5" customHeight="1">
      <c r="B683" s="130"/>
      <c r="C683" s="130"/>
      <c r="D683" s="130"/>
      <c r="E683" s="131"/>
      <c r="F683" s="131"/>
      <c r="G683" s="132"/>
      <c r="H683" s="133"/>
      <c r="I683" s="134"/>
      <c r="J683" s="134"/>
    </row>
    <row r="684" spans="2:12" s="129" customFormat="1" ht="18" customHeight="1">
      <c r="B684" s="72" t="s">
        <v>1014</v>
      </c>
      <c r="C684" s="72"/>
      <c r="D684" s="72"/>
      <c r="E684" s="73" t="s">
        <v>454</v>
      </c>
      <c r="F684" s="73" t="s">
        <v>45</v>
      </c>
      <c r="G684" s="74"/>
      <c r="H684" s="75"/>
      <c r="I684" s="76"/>
      <c r="J684" s="76"/>
    </row>
    <row r="685" spans="2:12" s="129" customFormat="1" ht="18" customHeight="1">
      <c r="B685" s="140" t="s">
        <v>1080</v>
      </c>
      <c r="C685" s="142" t="s">
        <v>71</v>
      </c>
      <c r="D685" s="143" t="s">
        <v>455</v>
      </c>
      <c r="E685" s="144" t="s">
        <v>456</v>
      </c>
      <c r="F685" s="145" t="s">
        <v>43</v>
      </c>
      <c r="G685" s="146">
        <v>5</v>
      </c>
      <c r="H685" s="146"/>
      <c r="I685" s="147">
        <f>ROUND(H685*(1+BDI),2)</f>
        <v>0</v>
      </c>
      <c r="J685" s="147">
        <f t="shared" ref="J685:J697" si="52">ROUND(G685*I685,2)</f>
        <v>0</v>
      </c>
    </row>
    <row r="686" spans="2:12" s="129" customFormat="1" ht="18" customHeight="1">
      <c r="B686" s="140" t="s">
        <v>1081</v>
      </c>
      <c r="C686" s="142" t="s">
        <v>71</v>
      </c>
      <c r="D686" s="143" t="s">
        <v>457</v>
      </c>
      <c r="E686" s="148" t="s">
        <v>458</v>
      </c>
      <c r="F686" s="140" t="s">
        <v>43</v>
      </c>
      <c r="G686" s="146">
        <v>10</v>
      </c>
      <c r="H686" s="146"/>
      <c r="I686" s="147">
        <f>ROUND(H686*(1+BDI),2)</f>
        <v>0</v>
      </c>
      <c r="J686" s="147">
        <f t="shared" si="52"/>
        <v>0</v>
      </c>
    </row>
    <row r="687" spans="2:12" s="129" customFormat="1" ht="18" customHeight="1">
      <c r="B687" s="140" t="s">
        <v>1082</v>
      </c>
      <c r="C687" s="142" t="s">
        <v>71</v>
      </c>
      <c r="D687" s="143" t="s">
        <v>459</v>
      </c>
      <c r="E687" s="148" t="s">
        <v>460</v>
      </c>
      <c r="F687" s="140" t="s">
        <v>43</v>
      </c>
      <c r="G687" s="146">
        <f>3.5+5.5+8.1+3</f>
        <v>20.100000000000001</v>
      </c>
      <c r="H687" s="146"/>
      <c r="I687" s="147">
        <f>ROUND(H687*(1+BDI),2)</f>
        <v>0</v>
      </c>
      <c r="J687" s="147">
        <f t="shared" si="52"/>
        <v>0</v>
      </c>
    </row>
    <row r="688" spans="2:12" s="129" customFormat="1" ht="18" customHeight="1">
      <c r="B688" s="140" t="s">
        <v>1083</v>
      </c>
      <c r="C688" s="142" t="s">
        <v>71</v>
      </c>
      <c r="D688" s="143" t="s">
        <v>461</v>
      </c>
      <c r="E688" s="148" t="s">
        <v>462</v>
      </c>
      <c r="F688" s="140" t="s">
        <v>72</v>
      </c>
      <c r="G688" s="146">
        <v>3</v>
      </c>
      <c r="H688" s="146"/>
      <c r="I688" s="147">
        <f>ROUND(H688*(1+BDI),2)</f>
        <v>0</v>
      </c>
      <c r="J688" s="147">
        <f t="shared" si="52"/>
        <v>0</v>
      </c>
    </row>
    <row r="689" spans="2:12" s="129" customFormat="1" ht="18" customHeight="1">
      <c r="B689" s="140" t="s">
        <v>1084</v>
      </c>
      <c r="C689" s="142" t="s">
        <v>71</v>
      </c>
      <c r="D689" s="143" t="s">
        <v>463</v>
      </c>
      <c r="E689" s="148" t="s">
        <v>464</v>
      </c>
      <c r="F689" s="140" t="s">
        <v>72</v>
      </c>
      <c r="G689" s="146">
        <v>3</v>
      </c>
      <c r="H689" s="146"/>
      <c r="I689" s="147">
        <f>ROUND(H689*(1+BDI),2)</f>
        <v>0</v>
      </c>
      <c r="J689" s="147">
        <f t="shared" si="52"/>
        <v>0</v>
      </c>
    </row>
    <row r="690" spans="2:12" s="129" customFormat="1" ht="18" customHeight="1">
      <c r="B690" s="140" t="s">
        <v>1085</v>
      </c>
      <c r="C690" s="142" t="s">
        <v>71</v>
      </c>
      <c r="D690" s="143" t="s">
        <v>465</v>
      </c>
      <c r="E690" s="148" t="s">
        <v>466</v>
      </c>
      <c r="F690" s="140" t="s">
        <v>72</v>
      </c>
      <c r="G690" s="146">
        <v>5</v>
      </c>
      <c r="H690" s="146"/>
      <c r="I690" s="147">
        <f>ROUND(H690*(1+BDI),2)</f>
        <v>0</v>
      </c>
      <c r="J690" s="147">
        <f t="shared" si="52"/>
        <v>0</v>
      </c>
    </row>
    <row r="691" spans="2:12" s="129" customFormat="1" ht="18" customHeight="1">
      <c r="B691" s="140" t="s">
        <v>1086</v>
      </c>
      <c r="C691" s="142" t="s">
        <v>71</v>
      </c>
      <c r="D691" s="143" t="s">
        <v>467</v>
      </c>
      <c r="E691" s="148" t="s">
        <v>468</v>
      </c>
      <c r="F691" s="140" t="s">
        <v>72</v>
      </c>
      <c r="G691" s="146">
        <v>1</v>
      </c>
      <c r="H691" s="146"/>
      <c r="I691" s="147">
        <f>ROUND(H691*(1+BDI),2)</f>
        <v>0</v>
      </c>
      <c r="J691" s="147">
        <f t="shared" si="52"/>
        <v>0</v>
      </c>
    </row>
    <row r="692" spans="2:12" s="129" customFormat="1" ht="18" customHeight="1">
      <c r="B692" s="140" t="s">
        <v>1087</v>
      </c>
      <c r="C692" s="142" t="s">
        <v>71</v>
      </c>
      <c r="D692" s="143">
        <v>89731</v>
      </c>
      <c r="E692" s="148" t="s">
        <v>671</v>
      </c>
      <c r="F692" s="140" t="s">
        <v>251</v>
      </c>
      <c r="G692" s="146">
        <v>2</v>
      </c>
      <c r="H692" s="146"/>
      <c r="I692" s="147">
        <f>ROUND(H692*(1+BDI),2)</f>
        <v>0</v>
      </c>
      <c r="J692" s="147">
        <f t="shared" si="52"/>
        <v>0</v>
      </c>
    </row>
    <row r="693" spans="2:12" s="129" customFormat="1" ht="18" customHeight="1">
      <c r="B693" s="140" t="s">
        <v>1088</v>
      </c>
      <c r="C693" s="142" t="s">
        <v>70</v>
      </c>
      <c r="D693" s="143" t="s">
        <v>469</v>
      </c>
      <c r="E693" s="148" t="s">
        <v>470</v>
      </c>
      <c r="F693" s="140" t="s">
        <v>85</v>
      </c>
      <c r="G693" s="146">
        <v>1</v>
      </c>
      <c r="H693" s="146"/>
      <c r="I693" s="147">
        <f>ROUND(H693*(1+BDI),2)</f>
        <v>0</v>
      </c>
      <c r="J693" s="147">
        <f t="shared" si="52"/>
        <v>0</v>
      </c>
    </row>
    <row r="694" spans="2:12" s="129" customFormat="1" ht="18" customHeight="1">
      <c r="B694" s="140" t="s">
        <v>1089</v>
      </c>
      <c r="C694" s="142" t="s">
        <v>71</v>
      </c>
      <c r="D694" s="143" t="s">
        <v>471</v>
      </c>
      <c r="E694" s="148" t="s">
        <v>472</v>
      </c>
      <c r="F694" s="140" t="s">
        <v>72</v>
      </c>
      <c r="G694" s="146">
        <v>2</v>
      </c>
      <c r="H694" s="146"/>
      <c r="I694" s="147">
        <f>ROUND(H694*(1+BDI),2)</f>
        <v>0</v>
      </c>
      <c r="J694" s="147">
        <f t="shared" si="52"/>
        <v>0</v>
      </c>
    </row>
    <row r="695" spans="2:12" s="129" customFormat="1" ht="18" customHeight="1">
      <c r="B695" s="140" t="s">
        <v>1090</v>
      </c>
      <c r="C695" s="142" t="s">
        <v>71</v>
      </c>
      <c r="D695" s="143" t="s">
        <v>473</v>
      </c>
      <c r="E695" s="148" t="s">
        <v>474</v>
      </c>
      <c r="F695" s="140" t="s">
        <v>72</v>
      </c>
      <c r="G695" s="146">
        <v>2</v>
      </c>
      <c r="H695" s="146"/>
      <c r="I695" s="147">
        <f>ROUND(H695*(1+BDI),2)</f>
        <v>0</v>
      </c>
      <c r="J695" s="147">
        <f t="shared" si="52"/>
        <v>0</v>
      </c>
    </row>
    <row r="696" spans="2:12" s="129" customFormat="1" ht="18" customHeight="1">
      <c r="B696" s="140" t="s">
        <v>1108</v>
      </c>
      <c r="C696" s="142" t="s">
        <v>71</v>
      </c>
      <c r="D696" s="143" t="s">
        <v>475</v>
      </c>
      <c r="E696" s="148" t="s">
        <v>476</v>
      </c>
      <c r="F696" s="140" t="s">
        <v>72</v>
      </c>
      <c r="G696" s="146">
        <v>1</v>
      </c>
      <c r="H696" s="146"/>
      <c r="I696" s="147">
        <f>ROUND(H696*(1+BDI),2)</f>
        <v>0</v>
      </c>
      <c r="J696" s="147">
        <f t="shared" si="52"/>
        <v>0</v>
      </c>
    </row>
    <row r="697" spans="2:12" s="129" customFormat="1" ht="18" customHeight="1">
      <c r="B697" s="140" t="s">
        <v>1109</v>
      </c>
      <c r="C697" s="142" t="s">
        <v>71</v>
      </c>
      <c r="D697" s="143" t="s">
        <v>477</v>
      </c>
      <c r="E697" s="148" t="s">
        <v>534</v>
      </c>
      <c r="F697" s="140" t="s">
        <v>44</v>
      </c>
      <c r="G697" s="146">
        <f>0.6*0.6*0.1</f>
        <v>3.5999999999999997E-2</v>
      </c>
      <c r="H697" s="146"/>
      <c r="I697" s="147">
        <f>ROUND(H697*(1+BDI),2)</f>
        <v>0</v>
      </c>
      <c r="J697" s="147">
        <f t="shared" si="52"/>
        <v>0</v>
      </c>
    </row>
    <row r="698" spans="2:12" s="129" customFormat="1" ht="18" customHeight="1">
      <c r="B698" s="140" t="s">
        <v>1116</v>
      </c>
      <c r="C698" s="142" t="s">
        <v>71</v>
      </c>
      <c r="D698" s="143" t="s">
        <v>478</v>
      </c>
      <c r="E698" s="148" t="s">
        <v>479</v>
      </c>
      <c r="F698" s="140" t="s">
        <v>72</v>
      </c>
      <c r="G698" s="146">
        <v>1</v>
      </c>
      <c r="H698" s="146"/>
      <c r="I698" s="147">
        <f>ROUND(H698*(1+BDI),2)</f>
        <v>0</v>
      </c>
      <c r="J698" s="147">
        <f>ROUND(G698*I698,2)</f>
        <v>0</v>
      </c>
    </row>
    <row r="699" spans="2:12" s="129" customFormat="1" ht="18" customHeight="1">
      <c r="B699" s="72"/>
      <c r="C699" s="72"/>
      <c r="D699" s="72"/>
      <c r="E699" s="73" t="s">
        <v>1015</v>
      </c>
      <c r="F699" s="73" t="s">
        <v>45</v>
      </c>
      <c r="G699" s="74"/>
      <c r="H699" s="75"/>
      <c r="I699" s="76"/>
      <c r="J699" s="76">
        <f>SUM(J685:J698)</f>
        <v>0</v>
      </c>
      <c r="L699" s="209"/>
    </row>
    <row r="700" spans="2:12" s="129" customFormat="1" ht="6.75" customHeight="1">
      <c r="B700" s="130"/>
      <c r="C700" s="130"/>
      <c r="D700" s="130"/>
      <c r="E700" s="131"/>
      <c r="F700" s="131"/>
      <c r="G700" s="132"/>
      <c r="H700" s="133"/>
      <c r="I700" s="134"/>
      <c r="J700" s="134"/>
    </row>
    <row r="701" spans="2:12" s="129" customFormat="1" ht="18" customHeight="1">
      <c r="B701" s="72" t="s">
        <v>1091</v>
      </c>
      <c r="C701" s="72"/>
      <c r="D701" s="72"/>
      <c r="E701" s="73" t="s">
        <v>643</v>
      </c>
      <c r="F701" s="73" t="s">
        <v>45</v>
      </c>
      <c r="G701" s="74"/>
      <c r="H701" s="75"/>
      <c r="I701" s="76"/>
      <c r="J701" s="76"/>
    </row>
    <row r="702" spans="2:12" s="129" customFormat="1" ht="27.75" customHeight="1">
      <c r="B702" s="140" t="s">
        <v>1106</v>
      </c>
      <c r="C702" s="142" t="s">
        <v>71</v>
      </c>
      <c r="D702" s="142">
        <v>86922</v>
      </c>
      <c r="E702" s="144" t="s">
        <v>773</v>
      </c>
      <c r="F702" s="145" t="s">
        <v>251</v>
      </c>
      <c r="G702" s="146">
        <v>1</v>
      </c>
      <c r="H702" s="146"/>
      <c r="I702" s="147">
        <f>ROUND(H702*(1+BDI),2)</f>
        <v>0</v>
      </c>
      <c r="J702" s="147">
        <f t="shared" ref="J702" si="53">ROUND(G702*I702,2)</f>
        <v>0</v>
      </c>
    </row>
    <row r="703" spans="2:12" s="129" customFormat="1" ht="18" customHeight="1">
      <c r="B703" s="140" t="s">
        <v>1107</v>
      </c>
      <c r="C703" s="142" t="s">
        <v>71</v>
      </c>
      <c r="D703" s="142">
        <v>86914</v>
      </c>
      <c r="E703" s="144" t="s">
        <v>774</v>
      </c>
      <c r="F703" s="145" t="s">
        <v>251</v>
      </c>
      <c r="G703" s="146">
        <v>2</v>
      </c>
      <c r="H703" s="146"/>
      <c r="I703" s="147">
        <f>ROUND(H703*(1+BDI),2)</f>
        <v>0</v>
      </c>
      <c r="J703" s="147">
        <f>ROUND(G703*I703,2)</f>
        <v>0</v>
      </c>
    </row>
    <row r="704" spans="2:12" s="129" customFormat="1" ht="18" customHeight="1">
      <c r="B704" s="72"/>
      <c r="C704" s="72"/>
      <c r="D704" s="72"/>
      <c r="E704" s="73" t="s">
        <v>1092</v>
      </c>
      <c r="F704" s="73" t="s">
        <v>45</v>
      </c>
      <c r="G704" s="74"/>
      <c r="H704" s="75"/>
      <c r="I704" s="76"/>
      <c r="J704" s="76">
        <f>SUM(J702:J703)</f>
        <v>0</v>
      </c>
      <c r="L704" s="209"/>
    </row>
    <row r="705" spans="2:12" s="129" customFormat="1" ht="6.75" customHeight="1">
      <c r="B705" s="130"/>
      <c r="C705" s="130"/>
      <c r="D705" s="130"/>
      <c r="E705" s="131"/>
      <c r="F705" s="131"/>
      <c r="G705" s="132"/>
      <c r="H705" s="133"/>
      <c r="I705" s="134"/>
      <c r="J705" s="134"/>
    </row>
    <row r="706" spans="2:12" s="129" customFormat="1" ht="18" customHeight="1">
      <c r="B706" s="72" t="s">
        <v>1094</v>
      </c>
      <c r="C706" s="72"/>
      <c r="D706" s="72"/>
      <c r="E706" s="73" t="s">
        <v>67</v>
      </c>
      <c r="F706" s="73" t="s">
        <v>45</v>
      </c>
      <c r="G706" s="74"/>
      <c r="H706" s="75"/>
      <c r="I706" s="76"/>
      <c r="J706" s="76"/>
    </row>
    <row r="707" spans="2:12" s="129" customFormat="1" ht="24.75" customHeight="1">
      <c r="B707" s="140" t="s">
        <v>1095</v>
      </c>
      <c r="C707" s="142" t="s">
        <v>71</v>
      </c>
      <c r="D707" s="142">
        <v>95781</v>
      </c>
      <c r="E707" s="144" t="s">
        <v>776</v>
      </c>
      <c r="F707" s="145" t="s">
        <v>251</v>
      </c>
      <c r="G707" s="146">
        <f>10</f>
        <v>10</v>
      </c>
      <c r="H707" s="146"/>
      <c r="I707" s="147">
        <f>ROUND(H707*(1+BDI),2)</f>
        <v>0</v>
      </c>
      <c r="J707" s="147">
        <f>ROUND(G707*I707,2)</f>
        <v>0</v>
      </c>
    </row>
    <row r="708" spans="2:12" s="129" customFormat="1" ht="18" customHeight="1">
      <c r="B708" s="140" t="s">
        <v>1096</v>
      </c>
      <c r="C708" s="142" t="s">
        <v>71</v>
      </c>
      <c r="D708" s="142">
        <v>92868</v>
      </c>
      <c r="E708" s="144" t="s">
        <v>775</v>
      </c>
      <c r="F708" s="145" t="s">
        <v>251</v>
      </c>
      <c r="G708" s="146">
        <v>3</v>
      </c>
      <c r="H708" s="146"/>
      <c r="I708" s="147">
        <f>ROUND(H708*(1+BDI),2)</f>
        <v>0</v>
      </c>
      <c r="J708" s="147">
        <f>ROUND(G708*I708,2)</f>
        <v>0</v>
      </c>
    </row>
    <row r="709" spans="2:12" s="129" customFormat="1" ht="18" customHeight="1">
      <c r="B709" s="140" t="s">
        <v>1097</v>
      </c>
      <c r="C709" s="142" t="s">
        <v>71</v>
      </c>
      <c r="D709" s="142">
        <v>91834</v>
      </c>
      <c r="E709" s="144" t="s">
        <v>779</v>
      </c>
      <c r="F709" s="145" t="s">
        <v>43</v>
      </c>
      <c r="G709" s="146">
        <v>20</v>
      </c>
      <c r="H709" s="146"/>
      <c r="I709" s="147">
        <f>ROUND(H709*(1+BDI),2)</f>
        <v>0</v>
      </c>
      <c r="J709" s="147">
        <f>ROUND(G709*I709,2)</f>
        <v>0</v>
      </c>
    </row>
    <row r="710" spans="2:12" s="129" customFormat="1" ht="18" customHeight="1">
      <c r="B710" s="140" t="s">
        <v>1098</v>
      </c>
      <c r="C710" s="142" t="s">
        <v>71</v>
      </c>
      <c r="D710" s="142">
        <v>91925</v>
      </c>
      <c r="E710" s="144" t="s">
        <v>1136</v>
      </c>
      <c r="F710" s="145" t="s">
        <v>43</v>
      </c>
      <c r="G710" s="146">
        <v>150</v>
      </c>
      <c r="H710" s="146"/>
      <c r="I710" s="147">
        <f>ROUND(H710*(1+BDI),2)</f>
        <v>0</v>
      </c>
      <c r="J710" s="147">
        <f t="shared" ref="J710" si="54">ROUND(G710*I710,2)</f>
        <v>0</v>
      </c>
    </row>
    <row r="711" spans="2:12" s="129" customFormat="1" ht="18" customHeight="1">
      <c r="B711" s="140" t="s">
        <v>1099</v>
      </c>
      <c r="C711" s="142" t="s">
        <v>71</v>
      </c>
      <c r="D711" s="142">
        <v>91927</v>
      </c>
      <c r="E711" s="144" t="s">
        <v>1137</v>
      </c>
      <c r="F711" s="145" t="s">
        <v>43</v>
      </c>
      <c r="G711" s="146">
        <v>200</v>
      </c>
      <c r="H711" s="146"/>
      <c r="I711" s="147">
        <f>ROUND(H711*(1+BDI),2)</f>
        <v>0</v>
      </c>
      <c r="J711" s="147">
        <f>ROUND(G711*I711,2)</f>
        <v>0</v>
      </c>
    </row>
    <row r="712" spans="2:12" s="129" customFormat="1" ht="18" customHeight="1">
      <c r="B712" s="140" t="s">
        <v>1100</v>
      </c>
      <c r="C712" s="142" t="s">
        <v>71</v>
      </c>
      <c r="D712" s="142">
        <v>91953</v>
      </c>
      <c r="E712" s="144" t="s">
        <v>100</v>
      </c>
      <c r="F712" s="145" t="s">
        <v>251</v>
      </c>
      <c r="G712" s="146">
        <v>1</v>
      </c>
      <c r="H712" s="146"/>
      <c r="I712" s="147">
        <f>ROUND(H712*(1+BDI),2)</f>
        <v>0</v>
      </c>
      <c r="J712" s="147">
        <f t="shared" ref="J712:J713" si="55">ROUND(G712*I712,2)</f>
        <v>0</v>
      </c>
    </row>
    <row r="713" spans="2:12" s="129" customFormat="1" ht="18" customHeight="1">
      <c r="B713" s="140" t="s">
        <v>1101</v>
      </c>
      <c r="C713" s="142" t="s">
        <v>71</v>
      </c>
      <c r="D713" s="142">
        <v>91973</v>
      </c>
      <c r="E713" s="144" t="s">
        <v>675</v>
      </c>
      <c r="F713" s="145" t="s">
        <v>251</v>
      </c>
      <c r="G713" s="146">
        <v>2</v>
      </c>
      <c r="H713" s="146"/>
      <c r="I713" s="147">
        <f>ROUND(H713*(1+BDI),2)</f>
        <v>0</v>
      </c>
      <c r="J713" s="147">
        <f t="shared" si="55"/>
        <v>0</v>
      </c>
    </row>
    <row r="714" spans="2:12" s="129" customFormat="1" ht="18" customHeight="1">
      <c r="B714" s="140" t="s">
        <v>1102</v>
      </c>
      <c r="C714" s="142" t="s">
        <v>71</v>
      </c>
      <c r="D714" s="142">
        <v>92004</v>
      </c>
      <c r="E714" s="144" t="s">
        <v>101</v>
      </c>
      <c r="F714" s="145" t="s">
        <v>251</v>
      </c>
      <c r="G714" s="146">
        <v>3</v>
      </c>
      <c r="H714" s="146"/>
      <c r="I714" s="147">
        <f>ROUND(H714*(1+BDI),2)</f>
        <v>0</v>
      </c>
      <c r="J714" s="147">
        <f>ROUND(G714*I714,2)</f>
        <v>0</v>
      </c>
    </row>
    <row r="715" spans="2:12" s="129" customFormat="1" ht="18" customHeight="1">
      <c r="B715" s="140" t="s">
        <v>1103</v>
      </c>
      <c r="C715" s="142" t="s">
        <v>170</v>
      </c>
      <c r="D715" s="142" t="s">
        <v>280</v>
      </c>
      <c r="E715" s="144" t="s">
        <v>279</v>
      </c>
      <c r="F715" s="145" t="s">
        <v>43</v>
      </c>
      <c r="G715" s="146">
        <f>0.7+1.7+0.5+1.5+1.5+1.5+1.3+1.4+2.7+0.65+1.84+1.5+8</f>
        <v>24.79</v>
      </c>
      <c r="H715" s="146"/>
      <c r="I715" s="147">
        <f>ROUND(H715*(1+BDI),2)</f>
        <v>0</v>
      </c>
      <c r="J715" s="147">
        <f>ROUND(G715*I715,2)</f>
        <v>0</v>
      </c>
    </row>
    <row r="716" spans="2:12" s="129" customFormat="1" ht="18" customHeight="1">
      <c r="B716" s="140" t="s">
        <v>1104</v>
      </c>
      <c r="C716" s="142" t="s">
        <v>71</v>
      </c>
      <c r="D716" s="142">
        <v>97607</v>
      </c>
      <c r="E716" s="144" t="s">
        <v>777</v>
      </c>
      <c r="F716" s="145" t="s">
        <v>251</v>
      </c>
      <c r="G716" s="146">
        <v>10</v>
      </c>
      <c r="H716" s="146"/>
      <c r="I716" s="147">
        <f>ROUND(H716*(1+BDI),2)</f>
        <v>0</v>
      </c>
      <c r="J716" s="147">
        <f>ROUND(G716*I716,2)</f>
        <v>0</v>
      </c>
    </row>
    <row r="717" spans="2:12" s="129" customFormat="1" ht="18" customHeight="1">
      <c r="B717" s="140" t="s">
        <v>1105</v>
      </c>
      <c r="C717" s="142" t="s">
        <v>62</v>
      </c>
      <c r="D717" s="142" t="s">
        <v>160</v>
      </c>
      <c r="E717" s="144" t="s">
        <v>778</v>
      </c>
      <c r="F717" s="145" t="s">
        <v>251</v>
      </c>
      <c r="G717" s="146">
        <v>2</v>
      </c>
      <c r="H717" s="146"/>
      <c r="I717" s="147">
        <f>ROUND(H717*(1+BDI),2)</f>
        <v>0</v>
      </c>
      <c r="J717" s="147">
        <f>ROUND(G717*I717,2)</f>
        <v>0</v>
      </c>
    </row>
    <row r="718" spans="2:12" s="129" customFormat="1" ht="18" customHeight="1">
      <c r="B718" s="72"/>
      <c r="C718" s="72"/>
      <c r="D718" s="72"/>
      <c r="E718" s="73" t="s">
        <v>1093</v>
      </c>
      <c r="F718" s="73" t="s">
        <v>45</v>
      </c>
      <c r="G718" s="74"/>
      <c r="H718" s="75"/>
      <c r="I718" s="76"/>
      <c r="J718" s="76">
        <f>SUM(J707:J717)</f>
        <v>0</v>
      </c>
      <c r="L718" s="209"/>
    </row>
    <row r="719" spans="2:12" s="129" customFormat="1" ht="8.25" customHeight="1">
      <c r="B719" s="130"/>
      <c r="C719" s="130"/>
      <c r="D719" s="130"/>
      <c r="E719" s="131"/>
      <c r="F719" s="131"/>
      <c r="G719" s="132"/>
      <c r="H719" s="133"/>
      <c r="I719" s="134"/>
      <c r="J719" s="134"/>
    </row>
    <row r="720" spans="2:12" s="129" customFormat="1" ht="18" customHeight="1">
      <c r="B720" s="335" t="s">
        <v>730</v>
      </c>
      <c r="C720" s="335"/>
      <c r="D720" s="335"/>
      <c r="E720" s="335"/>
      <c r="F720" s="335"/>
      <c r="G720" s="335"/>
      <c r="H720" s="335"/>
      <c r="I720" s="335"/>
      <c r="J720" s="169">
        <f>J590+J718+J704+J682+J673+J662+J649+J641+J635+J623+J616+J604+J654+J699</f>
        <v>0</v>
      </c>
    </row>
    <row r="721" spans="2:14" s="129" customFormat="1" ht="6" customHeight="1">
      <c r="B721" s="175"/>
      <c r="C721" s="175"/>
      <c r="D721" s="175"/>
      <c r="E721" s="176"/>
      <c r="F721" s="176"/>
      <c r="G721" s="177"/>
      <c r="H721" s="178"/>
      <c r="I721" s="178"/>
      <c r="J721" s="179"/>
    </row>
    <row r="722" spans="2:14" s="22" customFormat="1" ht="18" customHeight="1">
      <c r="B722" s="336" t="s">
        <v>293</v>
      </c>
      <c r="C722" s="337"/>
      <c r="D722" s="337"/>
      <c r="E722" s="337"/>
      <c r="F722" s="337"/>
      <c r="G722" s="337"/>
      <c r="H722" s="337"/>
      <c r="I722" s="338"/>
      <c r="J722" s="207">
        <f>J583+J563+J720</f>
        <v>0</v>
      </c>
    </row>
    <row r="723" spans="2:14" s="22" customFormat="1" ht="7.5" customHeight="1" thickBot="1">
      <c r="B723" s="170"/>
      <c r="C723" s="170"/>
      <c r="D723" s="170"/>
      <c r="E723" s="171"/>
      <c r="F723" s="171"/>
      <c r="G723" s="172"/>
      <c r="H723" s="173"/>
      <c r="I723" s="173"/>
      <c r="J723" s="174"/>
    </row>
    <row r="724" spans="2:14" ht="15.75" customHeight="1" thickBot="1">
      <c r="B724" s="340" t="s">
        <v>29</v>
      </c>
      <c r="C724" s="341"/>
      <c r="D724" s="341"/>
      <c r="E724" s="341"/>
      <c r="F724" s="341"/>
      <c r="G724" s="341"/>
      <c r="H724" s="341"/>
      <c r="I724" s="342"/>
      <c r="J724" s="202">
        <f>J105+J31+J161+J428+J491+J722</f>
        <v>0</v>
      </c>
      <c r="L724" s="210"/>
      <c r="M724" s="210">
        <f>SUM(M2:M723)</f>
        <v>0</v>
      </c>
      <c r="N724" s="210">
        <f>SUM(N2:N723)</f>
        <v>0</v>
      </c>
    </row>
    <row r="725" spans="2:14">
      <c r="I725" s="118"/>
      <c r="J725" s="117"/>
    </row>
    <row r="726" spans="2:14">
      <c r="B726" s="162" t="s">
        <v>1200</v>
      </c>
      <c r="I726" s="118"/>
      <c r="J726" s="117"/>
    </row>
    <row r="727" spans="2:14">
      <c r="I727" s="118"/>
      <c r="J727" s="117"/>
    </row>
    <row r="728" spans="2:14">
      <c r="I728" s="118"/>
      <c r="J728" s="117"/>
    </row>
    <row r="729" spans="2:14">
      <c r="E729" s="162"/>
      <c r="I729" s="118"/>
      <c r="J729" s="117"/>
    </row>
    <row r="730" spans="2:14" ht="12.75" customHeight="1">
      <c r="E730" s="163"/>
      <c r="G730" s="1"/>
      <c r="H730" s="1"/>
      <c r="I730" s="1"/>
      <c r="J730" s="1"/>
    </row>
    <row r="731" spans="2:14" ht="12.75" customHeight="1">
      <c r="E731" s="163"/>
      <c r="G731" s="1"/>
      <c r="H731" s="1"/>
      <c r="I731" s="1"/>
      <c r="J731" s="1"/>
    </row>
    <row r="732" spans="2:14" ht="11.25" customHeight="1">
      <c r="E732" s="163"/>
      <c r="G732" s="1"/>
      <c r="H732" s="1"/>
      <c r="I732" s="1"/>
      <c r="J732" s="1"/>
    </row>
    <row r="733" spans="2:14">
      <c r="G733" s="1"/>
      <c r="H733" s="1"/>
      <c r="I733" s="1"/>
      <c r="J733" s="1"/>
    </row>
  </sheetData>
  <sheetProtection algorithmName="SHA-512" hashValue="gxfo0zMMJJkTwSqdFp4kFLUy8BWZN0h1QqyjcJ+4P2TRjjqve7tkrRCh5n4vdJccgQNzAK4KUrRyMilySPS0rw==" saltValue="e6ZN8K/Fxx84lE1gJaj7LQ==" spinCount="100000" sheet="1" objects="1" scenarios="1"/>
  <protectedRanges>
    <protectedRange sqref="B2:J2" name="Intervalo4"/>
    <protectedRange sqref="B726" name="Intervalo2"/>
    <protectedRange sqref="H18:H1048576 H8:H11 H1 I18:I1048576 I8:I11 I1 B18:J18" name="Intervalo1"/>
    <protectedRange sqref="D6:F6 C8:F8 E10:F10" name="Intervalo3"/>
  </protectedRanges>
  <mergeCells count="40">
    <mergeCell ref="P16:R16"/>
    <mergeCell ref="B722:I722"/>
    <mergeCell ref="B724:I724"/>
    <mergeCell ref="B494:J494"/>
    <mergeCell ref="B563:I563"/>
    <mergeCell ref="B565:J565"/>
    <mergeCell ref="B583:I583"/>
    <mergeCell ref="B585:J585"/>
    <mergeCell ref="B720:I720"/>
    <mergeCell ref="B493:J493"/>
    <mergeCell ref="B161:I161"/>
    <mergeCell ref="B163:J163"/>
    <mergeCell ref="B164:J164"/>
    <mergeCell ref="B277:I277"/>
    <mergeCell ref="B279:J279"/>
    <mergeCell ref="B343:I343"/>
    <mergeCell ref="B345:J345"/>
    <mergeCell ref="B426:I426"/>
    <mergeCell ref="B428:I428"/>
    <mergeCell ref="B430:J430"/>
    <mergeCell ref="B491:I491"/>
    <mergeCell ref="B107:J107"/>
    <mergeCell ref="C8:F8"/>
    <mergeCell ref="H8:H10"/>
    <mergeCell ref="I8:J10"/>
    <mergeCell ref="B10:D10"/>
    <mergeCell ref="E10:F10"/>
    <mergeCell ref="B12:J12"/>
    <mergeCell ref="B16:J16"/>
    <mergeCell ref="B18:J18"/>
    <mergeCell ref="B31:I31"/>
    <mergeCell ref="B33:J33"/>
    <mergeCell ref="B105:I105"/>
    <mergeCell ref="B2:J2"/>
    <mergeCell ref="B4:C4"/>
    <mergeCell ref="D4:I4"/>
    <mergeCell ref="B6:C6"/>
    <mergeCell ref="D6:F6"/>
    <mergeCell ref="H6:H7"/>
    <mergeCell ref="I6:J7"/>
  </mergeCells>
  <conditionalFormatting sqref="G53 G162 G429 G492 G723">
    <cfRule type="cellIs" dxfId="5" priority="5" stopIfTrue="1" operator="equal">
      <formula>0</formula>
    </cfRule>
  </conditionalFormatting>
  <conditionalFormatting sqref="G57">
    <cfRule type="cellIs" dxfId="4" priority="4" stopIfTrue="1" operator="equal">
      <formula>0</formula>
    </cfRule>
  </conditionalFormatting>
  <conditionalFormatting sqref="G66">
    <cfRule type="cellIs" dxfId="3" priority="3" stopIfTrue="1" operator="equal">
      <formula>0</formula>
    </cfRule>
  </conditionalFormatting>
  <conditionalFormatting sqref="G427">
    <cfRule type="cellIs" dxfId="2" priority="2" stopIfTrue="1" operator="equal">
      <formula>0</formula>
    </cfRule>
  </conditionalFormatting>
  <conditionalFormatting sqref="G721">
    <cfRule type="cellIs" dxfId="1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horizontalDpi="4294967293" verticalDpi="4294967293" r:id="rId1"/>
  <headerFooter scaleWithDoc="0">
    <oddFooter>&amp;R&amp;"Arial,Itálico"&amp;7Página: &amp;P de &amp;N</oddFooter>
  </headerFooter>
  <rowBreaks count="9" manualBreakCount="9">
    <brk id="32" max="10" man="1"/>
    <brk id="223" max="10" man="1"/>
    <brk id="278" max="10" man="1"/>
    <brk id="305" max="10" man="1"/>
    <brk id="388" max="10" man="1"/>
    <brk id="564" max="10" man="1"/>
    <brk id="591" max="10" man="1"/>
    <brk id="674" max="10" man="1"/>
    <brk id="701" max="10" man="1"/>
  </rowBreaks>
  <ignoredErrors>
    <ignoredError sqref="D69 D122 D257:D269 D358:D370 D444:D454 D527 D640:D648 D685:D698" numberStoredAsText="1"/>
    <ignoredError sqref="G462:G4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D8BC-15BD-4721-94D4-CC8483145C07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X191"/>
  <sheetViews>
    <sheetView showGridLines="0" view="pageBreakPreview" topLeftCell="K1" zoomScaleNormal="115" zoomScaleSheetLayoutView="100" workbookViewId="0">
      <selection activeCell="AB17" sqref="AB17"/>
    </sheetView>
  </sheetViews>
  <sheetFormatPr defaultRowHeight="14.25"/>
  <cols>
    <col min="1" max="1" width="0.85546875" style="1" customWidth="1"/>
    <col min="2" max="2" width="7.140625" style="1" customWidth="1"/>
    <col min="3" max="3" width="10" style="1" customWidth="1"/>
    <col min="4" max="4" width="64.28515625" style="1" customWidth="1"/>
    <col min="5" max="5" width="5.7109375" style="2" customWidth="1"/>
    <col min="6" max="8" width="10.28515625" style="3" customWidth="1"/>
    <col min="9" max="9" width="12.85546875" style="3" bestFit="1" customWidth="1"/>
    <col min="10" max="10" width="12.85546875" style="3" customWidth="1"/>
    <col min="11" max="11" width="11.7109375" style="1" customWidth="1"/>
    <col min="12" max="12" width="13.42578125" style="1" customWidth="1"/>
    <col min="13" max="13" width="14.28515625" style="250" customWidth="1"/>
    <col min="14" max="16" width="9.140625" style="250"/>
    <col min="17" max="17" width="11.28515625" style="250" customWidth="1"/>
    <col min="18" max="18" width="17.7109375" style="250" customWidth="1"/>
    <col min="19" max="19" width="19.42578125" style="250" customWidth="1"/>
    <col min="20" max="22" width="10" style="250" bestFit="1" customWidth="1"/>
    <col min="23" max="23" width="9.140625" style="250"/>
    <col min="24" max="24" width="15" style="1" bestFit="1" customWidth="1"/>
    <col min="25" max="256" width="9.140625" style="1"/>
    <col min="257" max="257" width="7.42578125" style="1" customWidth="1"/>
    <col min="258" max="258" width="45.42578125" style="1" customWidth="1"/>
    <col min="259" max="259" width="4.5703125" style="1" customWidth="1"/>
    <col min="260" max="260" width="9.5703125" style="1" customWidth="1"/>
    <col min="261" max="261" width="12.7109375" style="1" customWidth="1"/>
    <col min="262" max="262" width="14" style="1" customWidth="1"/>
    <col min="263" max="264" width="9.140625" style="1"/>
    <col min="265" max="265" width="13.42578125" style="1" customWidth="1"/>
    <col min="266" max="512" width="9.140625" style="1"/>
    <col min="513" max="513" width="7.42578125" style="1" customWidth="1"/>
    <col min="514" max="514" width="45.42578125" style="1" customWidth="1"/>
    <col min="515" max="515" width="4.5703125" style="1" customWidth="1"/>
    <col min="516" max="516" width="9.5703125" style="1" customWidth="1"/>
    <col min="517" max="517" width="12.7109375" style="1" customWidth="1"/>
    <col min="518" max="518" width="14" style="1" customWidth="1"/>
    <col min="519" max="520" width="9.140625" style="1"/>
    <col min="521" max="521" width="13.42578125" style="1" customWidth="1"/>
    <col min="522" max="768" width="9.140625" style="1"/>
    <col min="769" max="769" width="7.42578125" style="1" customWidth="1"/>
    <col min="770" max="770" width="45.42578125" style="1" customWidth="1"/>
    <col min="771" max="771" width="4.5703125" style="1" customWidth="1"/>
    <col min="772" max="772" width="9.5703125" style="1" customWidth="1"/>
    <col min="773" max="773" width="12.7109375" style="1" customWidth="1"/>
    <col min="774" max="774" width="14" style="1" customWidth="1"/>
    <col min="775" max="776" width="9.140625" style="1"/>
    <col min="777" max="777" width="13.42578125" style="1" customWidth="1"/>
    <col min="778" max="1024" width="9.140625" style="1"/>
    <col min="1025" max="1025" width="7.42578125" style="1" customWidth="1"/>
    <col min="1026" max="1026" width="45.42578125" style="1" customWidth="1"/>
    <col min="1027" max="1027" width="4.5703125" style="1" customWidth="1"/>
    <col min="1028" max="1028" width="9.5703125" style="1" customWidth="1"/>
    <col min="1029" max="1029" width="12.7109375" style="1" customWidth="1"/>
    <col min="1030" max="1030" width="14" style="1" customWidth="1"/>
    <col min="1031" max="1032" width="9.140625" style="1"/>
    <col min="1033" max="1033" width="13.42578125" style="1" customWidth="1"/>
    <col min="1034" max="1280" width="9.140625" style="1"/>
    <col min="1281" max="1281" width="7.42578125" style="1" customWidth="1"/>
    <col min="1282" max="1282" width="45.42578125" style="1" customWidth="1"/>
    <col min="1283" max="1283" width="4.5703125" style="1" customWidth="1"/>
    <col min="1284" max="1284" width="9.5703125" style="1" customWidth="1"/>
    <col min="1285" max="1285" width="12.7109375" style="1" customWidth="1"/>
    <col min="1286" max="1286" width="14" style="1" customWidth="1"/>
    <col min="1287" max="1288" width="9.140625" style="1"/>
    <col min="1289" max="1289" width="13.42578125" style="1" customWidth="1"/>
    <col min="1290" max="1536" width="9.140625" style="1"/>
    <col min="1537" max="1537" width="7.42578125" style="1" customWidth="1"/>
    <col min="1538" max="1538" width="45.42578125" style="1" customWidth="1"/>
    <col min="1539" max="1539" width="4.5703125" style="1" customWidth="1"/>
    <col min="1540" max="1540" width="9.5703125" style="1" customWidth="1"/>
    <col min="1541" max="1541" width="12.7109375" style="1" customWidth="1"/>
    <col min="1542" max="1542" width="14" style="1" customWidth="1"/>
    <col min="1543" max="1544" width="9.140625" style="1"/>
    <col min="1545" max="1545" width="13.42578125" style="1" customWidth="1"/>
    <col min="1546" max="1792" width="9.140625" style="1"/>
    <col min="1793" max="1793" width="7.42578125" style="1" customWidth="1"/>
    <col min="1794" max="1794" width="45.42578125" style="1" customWidth="1"/>
    <col min="1795" max="1795" width="4.5703125" style="1" customWidth="1"/>
    <col min="1796" max="1796" width="9.5703125" style="1" customWidth="1"/>
    <col min="1797" max="1797" width="12.7109375" style="1" customWidth="1"/>
    <col min="1798" max="1798" width="14" style="1" customWidth="1"/>
    <col min="1799" max="1800" width="9.140625" style="1"/>
    <col min="1801" max="1801" width="13.42578125" style="1" customWidth="1"/>
    <col min="1802" max="2048" width="9.140625" style="1"/>
    <col min="2049" max="2049" width="7.42578125" style="1" customWidth="1"/>
    <col min="2050" max="2050" width="45.42578125" style="1" customWidth="1"/>
    <col min="2051" max="2051" width="4.5703125" style="1" customWidth="1"/>
    <col min="2052" max="2052" width="9.5703125" style="1" customWidth="1"/>
    <col min="2053" max="2053" width="12.7109375" style="1" customWidth="1"/>
    <col min="2054" max="2054" width="14" style="1" customWidth="1"/>
    <col min="2055" max="2056" width="9.140625" style="1"/>
    <col min="2057" max="2057" width="13.42578125" style="1" customWidth="1"/>
    <col min="2058" max="2304" width="9.140625" style="1"/>
    <col min="2305" max="2305" width="7.42578125" style="1" customWidth="1"/>
    <col min="2306" max="2306" width="45.42578125" style="1" customWidth="1"/>
    <col min="2307" max="2307" width="4.5703125" style="1" customWidth="1"/>
    <col min="2308" max="2308" width="9.5703125" style="1" customWidth="1"/>
    <col min="2309" max="2309" width="12.7109375" style="1" customWidth="1"/>
    <col min="2310" max="2310" width="14" style="1" customWidth="1"/>
    <col min="2311" max="2312" width="9.140625" style="1"/>
    <col min="2313" max="2313" width="13.42578125" style="1" customWidth="1"/>
    <col min="2314" max="2560" width="9.140625" style="1"/>
    <col min="2561" max="2561" width="7.42578125" style="1" customWidth="1"/>
    <col min="2562" max="2562" width="45.42578125" style="1" customWidth="1"/>
    <col min="2563" max="2563" width="4.5703125" style="1" customWidth="1"/>
    <col min="2564" max="2564" width="9.5703125" style="1" customWidth="1"/>
    <col min="2565" max="2565" width="12.7109375" style="1" customWidth="1"/>
    <col min="2566" max="2566" width="14" style="1" customWidth="1"/>
    <col min="2567" max="2568" width="9.140625" style="1"/>
    <col min="2569" max="2569" width="13.42578125" style="1" customWidth="1"/>
    <col min="2570" max="2816" width="9.140625" style="1"/>
    <col min="2817" max="2817" width="7.42578125" style="1" customWidth="1"/>
    <col min="2818" max="2818" width="45.42578125" style="1" customWidth="1"/>
    <col min="2819" max="2819" width="4.5703125" style="1" customWidth="1"/>
    <col min="2820" max="2820" width="9.5703125" style="1" customWidth="1"/>
    <col min="2821" max="2821" width="12.7109375" style="1" customWidth="1"/>
    <col min="2822" max="2822" width="14" style="1" customWidth="1"/>
    <col min="2823" max="2824" width="9.140625" style="1"/>
    <col min="2825" max="2825" width="13.42578125" style="1" customWidth="1"/>
    <col min="2826" max="3072" width="9.140625" style="1"/>
    <col min="3073" max="3073" width="7.42578125" style="1" customWidth="1"/>
    <col min="3074" max="3074" width="45.42578125" style="1" customWidth="1"/>
    <col min="3075" max="3075" width="4.5703125" style="1" customWidth="1"/>
    <col min="3076" max="3076" width="9.5703125" style="1" customWidth="1"/>
    <col min="3077" max="3077" width="12.7109375" style="1" customWidth="1"/>
    <col min="3078" max="3078" width="14" style="1" customWidth="1"/>
    <col min="3079" max="3080" width="9.140625" style="1"/>
    <col min="3081" max="3081" width="13.42578125" style="1" customWidth="1"/>
    <col min="3082" max="3328" width="9.140625" style="1"/>
    <col min="3329" max="3329" width="7.42578125" style="1" customWidth="1"/>
    <col min="3330" max="3330" width="45.42578125" style="1" customWidth="1"/>
    <col min="3331" max="3331" width="4.5703125" style="1" customWidth="1"/>
    <col min="3332" max="3332" width="9.5703125" style="1" customWidth="1"/>
    <col min="3333" max="3333" width="12.7109375" style="1" customWidth="1"/>
    <col min="3334" max="3334" width="14" style="1" customWidth="1"/>
    <col min="3335" max="3336" width="9.140625" style="1"/>
    <col min="3337" max="3337" width="13.42578125" style="1" customWidth="1"/>
    <col min="3338" max="3584" width="9.140625" style="1"/>
    <col min="3585" max="3585" width="7.42578125" style="1" customWidth="1"/>
    <col min="3586" max="3586" width="45.42578125" style="1" customWidth="1"/>
    <col min="3587" max="3587" width="4.5703125" style="1" customWidth="1"/>
    <col min="3588" max="3588" width="9.5703125" style="1" customWidth="1"/>
    <col min="3589" max="3589" width="12.7109375" style="1" customWidth="1"/>
    <col min="3590" max="3590" width="14" style="1" customWidth="1"/>
    <col min="3591" max="3592" width="9.140625" style="1"/>
    <col min="3593" max="3593" width="13.42578125" style="1" customWidth="1"/>
    <col min="3594" max="3840" width="9.140625" style="1"/>
    <col min="3841" max="3841" width="7.42578125" style="1" customWidth="1"/>
    <col min="3842" max="3842" width="45.42578125" style="1" customWidth="1"/>
    <col min="3843" max="3843" width="4.5703125" style="1" customWidth="1"/>
    <col min="3844" max="3844" width="9.5703125" style="1" customWidth="1"/>
    <col min="3845" max="3845" width="12.7109375" style="1" customWidth="1"/>
    <col min="3846" max="3846" width="14" style="1" customWidth="1"/>
    <col min="3847" max="3848" width="9.140625" style="1"/>
    <col min="3849" max="3849" width="13.42578125" style="1" customWidth="1"/>
    <col min="3850" max="4096" width="9.140625" style="1"/>
    <col min="4097" max="4097" width="7.42578125" style="1" customWidth="1"/>
    <col min="4098" max="4098" width="45.42578125" style="1" customWidth="1"/>
    <col min="4099" max="4099" width="4.5703125" style="1" customWidth="1"/>
    <col min="4100" max="4100" width="9.5703125" style="1" customWidth="1"/>
    <col min="4101" max="4101" width="12.7109375" style="1" customWidth="1"/>
    <col min="4102" max="4102" width="14" style="1" customWidth="1"/>
    <col min="4103" max="4104" width="9.140625" style="1"/>
    <col min="4105" max="4105" width="13.42578125" style="1" customWidth="1"/>
    <col min="4106" max="4352" width="9.140625" style="1"/>
    <col min="4353" max="4353" width="7.42578125" style="1" customWidth="1"/>
    <col min="4354" max="4354" width="45.42578125" style="1" customWidth="1"/>
    <col min="4355" max="4355" width="4.5703125" style="1" customWidth="1"/>
    <col min="4356" max="4356" width="9.5703125" style="1" customWidth="1"/>
    <col min="4357" max="4357" width="12.7109375" style="1" customWidth="1"/>
    <col min="4358" max="4358" width="14" style="1" customWidth="1"/>
    <col min="4359" max="4360" width="9.140625" style="1"/>
    <col min="4361" max="4361" width="13.42578125" style="1" customWidth="1"/>
    <col min="4362" max="4608" width="9.140625" style="1"/>
    <col min="4609" max="4609" width="7.42578125" style="1" customWidth="1"/>
    <col min="4610" max="4610" width="45.42578125" style="1" customWidth="1"/>
    <col min="4611" max="4611" width="4.5703125" style="1" customWidth="1"/>
    <col min="4612" max="4612" width="9.5703125" style="1" customWidth="1"/>
    <col min="4613" max="4613" width="12.7109375" style="1" customWidth="1"/>
    <col min="4614" max="4614" width="14" style="1" customWidth="1"/>
    <col min="4615" max="4616" width="9.140625" style="1"/>
    <col min="4617" max="4617" width="13.42578125" style="1" customWidth="1"/>
    <col min="4618" max="4864" width="9.140625" style="1"/>
    <col min="4865" max="4865" width="7.42578125" style="1" customWidth="1"/>
    <col min="4866" max="4866" width="45.42578125" style="1" customWidth="1"/>
    <col min="4867" max="4867" width="4.5703125" style="1" customWidth="1"/>
    <col min="4868" max="4868" width="9.5703125" style="1" customWidth="1"/>
    <col min="4869" max="4869" width="12.7109375" style="1" customWidth="1"/>
    <col min="4870" max="4870" width="14" style="1" customWidth="1"/>
    <col min="4871" max="4872" width="9.140625" style="1"/>
    <col min="4873" max="4873" width="13.42578125" style="1" customWidth="1"/>
    <col min="4874" max="5120" width="9.140625" style="1"/>
    <col min="5121" max="5121" width="7.42578125" style="1" customWidth="1"/>
    <col min="5122" max="5122" width="45.42578125" style="1" customWidth="1"/>
    <col min="5123" max="5123" width="4.5703125" style="1" customWidth="1"/>
    <col min="5124" max="5124" width="9.5703125" style="1" customWidth="1"/>
    <col min="5125" max="5125" width="12.7109375" style="1" customWidth="1"/>
    <col min="5126" max="5126" width="14" style="1" customWidth="1"/>
    <col min="5127" max="5128" width="9.140625" style="1"/>
    <col min="5129" max="5129" width="13.42578125" style="1" customWidth="1"/>
    <col min="5130" max="5376" width="9.140625" style="1"/>
    <col min="5377" max="5377" width="7.42578125" style="1" customWidth="1"/>
    <col min="5378" max="5378" width="45.42578125" style="1" customWidth="1"/>
    <col min="5379" max="5379" width="4.5703125" style="1" customWidth="1"/>
    <col min="5380" max="5380" width="9.5703125" style="1" customWidth="1"/>
    <col min="5381" max="5381" width="12.7109375" style="1" customWidth="1"/>
    <col min="5382" max="5382" width="14" style="1" customWidth="1"/>
    <col min="5383" max="5384" width="9.140625" style="1"/>
    <col min="5385" max="5385" width="13.42578125" style="1" customWidth="1"/>
    <col min="5386" max="5632" width="9.140625" style="1"/>
    <col min="5633" max="5633" width="7.42578125" style="1" customWidth="1"/>
    <col min="5634" max="5634" width="45.42578125" style="1" customWidth="1"/>
    <col min="5635" max="5635" width="4.5703125" style="1" customWidth="1"/>
    <col min="5636" max="5636" width="9.5703125" style="1" customWidth="1"/>
    <col min="5637" max="5637" width="12.7109375" style="1" customWidth="1"/>
    <col min="5638" max="5638" width="14" style="1" customWidth="1"/>
    <col min="5639" max="5640" width="9.140625" style="1"/>
    <col min="5641" max="5641" width="13.42578125" style="1" customWidth="1"/>
    <col min="5642" max="5888" width="9.140625" style="1"/>
    <col min="5889" max="5889" width="7.42578125" style="1" customWidth="1"/>
    <col min="5890" max="5890" width="45.42578125" style="1" customWidth="1"/>
    <col min="5891" max="5891" width="4.5703125" style="1" customWidth="1"/>
    <col min="5892" max="5892" width="9.5703125" style="1" customWidth="1"/>
    <col min="5893" max="5893" width="12.7109375" style="1" customWidth="1"/>
    <col min="5894" max="5894" width="14" style="1" customWidth="1"/>
    <col min="5895" max="5896" width="9.140625" style="1"/>
    <col min="5897" max="5897" width="13.42578125" style="1" customWidth="1"/>
    <col min="5898" max="6144" width="9.140625" style="1"/>
    <col min="6145" max="6145" width="7.42578125" style="1" customWidth="1"/>
    <col min="6146" max="6146" width="45.42578125" style="1" customWidth="1"/>
    <col min="6147" max="6147" width="4.5703125" style="1" customWidth="1"/>
    <col min="6148" max="6148" width="9.5703125" style="1" customWidth="1"/>
    <col min="6149" max="6149" width="12.7109375" style="1" customWidth="1"/>
    <col min="6150" max="6150" width="14" style="1" customWidth="1"/>
    <col min="6151" max="6152" width="9.140625" style="1"/>
    <col min="6153" max="6153" width="13.42578125" style="1" customWidth="1"/>
    <col min="6154" max="6400" width="9.140625" style="1"/>
    <col min="6401" max="6401" width="7.42578125" style="1" customWidth="1"/>
    <col min="6402" max="6402" width="45.42578125" style="1" customWidth="1"/>
    <col min="6403" max="6403" width="4.5703125" style="1" customWidth="1"/>
    <col min="6404" max="6404" width="9.5703125" style="1" customWidth="1"/>
    <col min="6405" max="6405" width="12.7109375" style="1" customWidth="1"/>
    <col min="6406" max="6406" width="14" style="1" customWidth="1"/>
    <col min="6407" max="6408" width="9.140625" style="1"/>
    <col min="6409" max="6409" width="13.42578125" style="1" customWidth="1"/>
    <col min="6410" max="6656" width="9.140625" style="1"/>
    <col min="6657" max="6657" width="7.42578125" style="1" customWidth="1"/>
    <col min="6658" max="6658" width="45.42578125" style="1" customWidth="1"/>
    <col min="6659" max="6659" width="4.5703125" style="1" customWidth="1"/>
    <col min="6660" max="6660" width="9.5703125" style="1" customWidth="1"/>
    <col min="6661" max="6661" width="12.7109375" style="1" customWidth="1"/>
    <col min="6662" max="6662" width="14" style="1" customWidth="1"/>
    <col min="6663" max="6664" width="9.140625" style="1"/>
    <col min="6665" max="6665" width="13.42578125" style="1" customWidth="1"/>
    <col min="6666" max="6912" width="9.140625" style="1"/>
    <col min="6913" max="6913" width="7.42578125" style="1" customWidth="1"/>
    <col min="6914" max="6914" width="45.42578125" style="1" customWidth="1"/>
    <col min="6915" max="6915" width="4.5703125" style="1" customWidth="1"/>
    <col min="6916" max="6916" width="9.5703125" style="1" customWidth="1"/>
    <col min="6917" max="6917" width="12.7109375" style="1" customWidth="1"/>
    <col min="6918" max="6918" width="14" style="1" customWidth="1"/>
    <col min="6919" max="6920" width="9.140625" style="1"/>
    <col min="6921" max="6921" width="13.42578125" style="1" customWidth="1"/>
    <col min="6922" max="7168" width="9.140625" style="1"/>
    <col min="7169" max="7169" width="7.42578125" style="1" customWidth="1"/>
    <col min="7170" max="7170" width="45.42578125" style="1" customWidth="1"/>
    <col min="7171" max="7171" width="4.5703125" style="1" customWidth="1"/>
    <col min="7172" max="7172" width="9.5703125" style="1" customWidth="1"/>
    <col min="7173" max="7173" width="12.7109375" style="1" customWidth="1"/>
    <col min="7174" max="7174" width="14" style="1" customWidth="1"/>
    <col min="7175" max="7176" width="9.140625" style="1"/>
    <col min="7177" max="7177" width="13.42578125" style="1" customWidth="1"/>
    <col min="7178" max="7424" width="9.140625" style="1"/>
    <col min="7425" max="7425" width="7.42578125" style="1" customWidth="1"/>
    <col min="7426" max="7426" width="45.42578125" style="1" customWidth="1"/>
    <col min="7427" max="7427" width="4.5703125" style="1" customWidth="1"/>
    <col min="7428" max="7428" width="9.5703125" style="1" customWidth="1"/>
    <col min="7429" max="7429" width="12.7109375" style="1" customWidth="1"/>
    <col min="7430" max="7430" width="14" style="1" customWidth="1"/>
    <col min="7431" max="7432" width="9.140625" style="1"/>
    <col min="7433" max="7433" width="13.42578125" style="1" customWidth="1"/>
    <col min="7434" max="7680" width="9.140625" style="1"/>
    <col min="7681" max="7681" width="7.42578125" style="1" customWidth="1"/>
    <col min="7682" max="7682" width="45.42578125" style="1" customWidth="1"/>
    <col min="7683" max="7683" width="4.5703125" style="1" customWidth="1"/>
    <col min="7684" max="7684" width="9.5703125" style="1" customWidth="1"/>
    <col min="7685" max="7685" width="12.7109375" style="1" customWidth="1"/>
    <col min="7686" max="7686" width="14" style="1" customWidth="1"/>
    <col min="7687" max="7688" width="9.140625" style="1"/>
    <col min="7689" max="7689" width="13.42578125" style="1" customWidth="1"/>
    <col min="7690" max="7936" width="9.140625" style="1"/>
    <col min="7937" max="7937" width="7.42578125" style="1" customWidth="1"/>
    <col min="7938" max="7938" width="45.42578125" style="1" customWidth="1"/>
    <col min="7939" max="7939" width="4.5703125" style="1" customWidth="1"/>
    <col min="7940" max="7940" width="9.5703125" style="1" customWidth="1"/>
    <col min="7941" max="7941" width="12.7109375" style="1" customWidth="1"/>
    <col min="7942" max="7942" width="14" style="1" customWidth="1"/>
    <col min="7943" max="7944" width="9.140625" style="1"/>
    <col min="7945" max="7945" width="13.42578125" style="1" customWidth="1"/>
    <col min="7946" max="8192" width="9.140625" style="1"/>
    <col min="8193" max="8193" width="7.42578125" style="1" customWidth="1"/>
    <col min="8194" max="8194" width="45.42578125" style="1" customWidth="1"/>
    <col min="8195" max="8195" width="4.5703125" style="1" customWidth="1"/>
    <col min="8196" max="8196" width="9.5703125" style="1" customWidth="1"/>
    <col min="8197" max="8197" width="12.7109375" style="1" customWidth="1"/>
    <col min="8198" max="8198" width="14" style="1" customWidth="1"/>
    <col min="8199" max="8200" width="9.140625" style="1"/>
    <col min="8201" max="8201" width="13.42578125" style="1" customWidth="1"/>
    <col min="8202" max="8448" width="9.140625" style="1"/>
    <col min="8449" max="8449" width="7.42578125" style="1" customWidth="1"/>
    <col min="8450" max="8450" width="45.42578125" style="1" customWidth="1"/>
    <col min="8451" max="8451" width="4.5703125" style="1" customWidth="1"/>
    <col min="8452" max="8452" width="9.5703125" style="1" customWidth="1"/>
    <col min="8453" max="8453" width="12.7109375" style="1" customWidth="1"/>
    <col min="8454" max="8454" width="14" style="1" customWidth="1"/>
    <col min="8455" max="8456" width="9.140625" style="1"/>
    <col min="8457" max="8457" width="13.42578125" style="1" customWidth="1"/>
    <col min="8458" max="8704" width="9.140625" style="1"/>
    <col min="8705" max="8705" width="7.42578125" style="1" customWidth="1"/>
    <col min="8706" max="8706" width="45.42578125" style="1" customWidth="1"/>
    <col min="8707" max="8707" width="4.5703125" style="1" customWidth="1"/>
    <col min="8708" max="8708" width="9.5703125" style="1" customWidth="1"/>
    <col min="8709" max="8709" width="12.7109375" style="1" customWidth="1"/>
    <col min="8710" max="8710" width="14" style="1" customWidth="1"/>
    <col min="8711" max="8712" width="9.140625" style="1"/>
    <col min="8713" max="8713" width="13.42578125" style="1" customWidth="1"/>
    <col min="8714" max="8960" width="9.140625" style="1"/>
    <col min="8961" max="8961" width="7.42578125" style="1" customWidth="1"/>
    <col min="8962" max="8962" width="45.42578125" style="1" customWidth="1"/>
    <col min="8963" max="8963" width="4.5703125" style="1" customWidth="1"/>
    <col min="8964" max="8964" width="9.5703125" style="1" customWidth="1"/>
    <col min="8965" max="8965" width="12.7109375" style="1" customWidth="1"/>
    <col min="8966" max="8966" width="14" style="1" customWidth="1"/>
    <col min="8967" max="8968" width="9.140625" style="1"/>
    <col min="8969" max="8969" width="13.42578125" style="1" customWidth="1"/>
    <col min="8970" max="9216" width="9.140625" style="1"/>
    <col min="9217" max="9217" width="7.42578125" style="1" customWidth="1"/>
    <col min="9218" max="9218" width="45.42578125" style="1" customWidth="1"/>
    <col min="9219" max="9219" width="4.5703125" style="1" customWidth="1"/>
    <col min="9220" max="9220" width="9.5703125" style="1" customWidth="1"/>
    <col min="9221" max="9221" width="12.7109375" style="1" customWidth="1"/>
    <col min="9222" max="9222" width="14" style="1" customWidth="1"/>
    <col min="9223" max="9224" width="9.140625" style="1"/>
    <col min="9225" max="9225" width="13.42578125" style="1" customWidth="1"/>
    <col min="9226" max="9472" width="9.140625" style="1"/>
    <col min="9473" max="9473" width="7.42578125" style="1" customWidth="1"/>
    <col min="9474" max="9474" width="45.42578125" style="1" customWidth="1"/>
    <col min="9475" max="9475" width="4.5703125" style="1" customWidth="1"/>
    <col min="9476" max="9476" width="9.5703125" style="1" customWidth="1"/>
    <col min="9477" max="9477" width="12.7109375" style="1" customWidth="1"/>
    <col min="9478" max="9478" width="14" style="1" customWidth="1"/>
    <col min="9479" max="9480" width="9.140625" style="1"/>
    <col min="9481" max="9481" width="13.42578125" style="1" customWidth="1"/>
    <col min="9482" max="9728" width="9.140625" style="1"/>
    <col min="9729" max="9729" width="7.42578125" style="1" customWidth="1"/>
    <col min="9730" max="9730" width="45.42578125" style="1" customWidth="1"/>
    <col min="9731" max="9731" width="4.5703125" style="1" customWidth="1"/>
    <col min="9732" max="9732" width="9.5703125" style="1" customWidth="1"/>
    <col min="9733" max="9733" width="12.7109375" style="1" customWidth="1"/>
    <col min="9734" max="9734" width="14" style="1" customWidth="1"/>
    <col min="9735" max="9736" width="9.140625" style="1"/>
    <col min="9737" max="9737" width="13.42578125" style="1" customWidth="1"/>
    <col min="9738" max="9984" width="9.140625" style="1"/>
    <col min="9985" max="9985" width="7.42578125" style="1" customWidth="1"/>
    <col min="9986" max="9986" width="45.42578125" style="1" customWidth="1"/>
    <col min="9987" max="9987" width="4.5703125" style="1" customWidth="1"/>
    <col min="9988" max="9988" width="9.5703125" style="1" customWidth="1"/>
    <col min="9989" max="9989" width="12.7109375" style="1" customWidth="1"/>
    <col min="9990" max="9990" width="14" style="1" customWidth="1"/>
    <col min="9991" max="9992" width="9.140625" style="1"/>
    <col min="9993" max="9993" width="13.42578125" style="1" customWidth="1"/>
    <col min="9994" max="10240" width="9.140625" style="1"/>
    <col min="10241" max="10241" width="7.42578125" style="1" customWidth="1"/>
    <col min="10242" max="10242" width="45.42578125" style="1" customWidth="1"/>
    <col min="10243" max="10243" width="4.5703125" style="1" customWidth="1"/>
    <col min="10244" max="10244" width="9.5703125" style="1" customWidth="1"/>
    <col min="10245" max="10245" width="12.7109375" style="1" customWidth="1"/>
    <col min="10246" max="10246" width="14" style="1" customWidth="1"/>
    <col min="10247" max="10248" width="9.140625" style="1"/>
    <col min="10249" max="10249" width="13.42578125" style="1" customWidth="1"/>
    <col min="10250" max="10496" width="9.140625" style="1"/>
    <col min="10497" max="10497" width="7.42578125" style="1" customWidth="1"/>
    <col min="10498" max="10498" width="45.42578125" style="1" customWidth="1"/>
    <col min="10499" max="10499" width="4.5703125" style="1" customWidth="1"/>
    <col min="10500" max="10500" width="9.5703125" style="1" customWidth="1"/>
    <col min="10501" max="10501" width="12.7109375" style="1" customWidth="1"/>
    <col min="10502" max="10502" width="14" style="1" customWidth="1"/>
    <col min="10503" max="10504" width="9.140625" style="1"/>
    <col min="10505" max="10505" width="13.42578125" style="1" customWidth="1"/>
    <col min="10506" max="10752" width="9.140625" style="1"/>
    <col min="10753" max="10753" width="7.42578125" style="1" customWidth="1"/>
    <col min="10754" max="10754" width="45.42578125" style="1" customWidth="1"/>
    <col min="10755" max="10755" width="4.5703125" style="1" customWidth="1"/>
    <col min="10756" max="10756" width="9.5703125" style="1" customWidth="1"/>
    <col min="10757" max="10757" width="12.7109375" style="1" customWidth="1"/>
    <col min="10758" max="10758" width="14" style="1" customWidth="1"/>
    <col min="10759" max="10760" width="9.140625" style="1"/>
    <col min="10761" max="10761" width="13.42578125" style="1" customWidth="1"/>
    <col min="10762" max="11008" width="9.140625" style="1"/>
    <col min="11009" max="11009" width="7.42578125" style="1" customWidth="1"/>
    <col min="11010" max="11010" width="45.42578125" style="1" customWidth="1"/>
    <col min="11011" max="11011" width="4.5703125" style="1" customWidth="1"/>
    <col min="11012" max="11012" width="9.5703125" style="1" customWidth="1"/>
    <col min="11013" max="11013" width="12.7109375" style="1" customWidth="1"/>
    <col min="11014" max="11014" width="14" style="1" customWidth="1"/>
    <col min="11015" max="11016" width="9.140625" style="1"/>
    <col min="11017" max="11017" width="13.42578125" style="1" customWidth="1"/>
    <col min="11018" max="11264" width="9.140625" style="1"/>
    <col min="11265" max="11265" width="7.42578125" style="1" customWidth="1"/>
    <col min="11266" max="11266" width="45.42578125" style="1" customWidth="1"/>
    <col min="11267" max="11267" width="4.5703125" style="1" customWidth="1"/>
    <col min="11268" max="11268" width="9.5703125" style="1" customWidth="1"/>
    <col min="11269" max="11269" width="12.7109375" style="1" customWidth="1"/>
    <col min="11270" max="11270" width="14" style="1" customWidth="1"/>
    <col min="11271" max="11272" width="9.140625" style="1"/>
    <col min="11273" max="11273" width="13.42578125" style="1" customWidth="1"/>
    <col min="11274" max="11520" width="9.140625" style="1"/>
    <col min="11521" max="11521" width="7.42578125" style="1" customWidth="1"/>
    <col min="11522" max="11522" width="45.42578125" style="1" customWidth="1"/>
    <col min="11523" max="11523" width="4.5703125" style="1" customWidth="1"/>
    <col min="11524" max="11524" width="9.5703125" style="1" customWidth="1"/>
    <col min="11525" max="11525" width="12.7109375" style="1" customWidth="1"/>
    <col min="11526" max="11526" width="14" style="1" customWidth="1"/>
    <col min="11527" max="11528" width="9.140625" style="1"/>
    <col min="11529" max="11529" width="13.42578125" style="1" customWidth="1"/>
    <col min="11530" max="11776" width="9.140625" style="1"/>
    <col min="11777" max="11777" width="7.42578125" style="1" customWidth="1"/>
    <col min="11778" max="11778" width="45.42578125" style="1" customWidth="1"/>
    <col min="11779" max="11779" width="4.5703125" style="1" customWidth="1"/>
    <col min="11780" max="11780" width="9.5703125" style="1" customWidth="1"/>
    <col min="11781" max="11781" width="12.7109375" style="1" customWidth="1"/>
    <col min="11782" max="11782" width="14" style="1" customWidth="1"/>
    <col min="11783" max="11784" width="9.140625" style="1"/>
    <col min="11785" max="11785" width="13.42578125" style="1" customWidth="1"/>
    <col min="11786" max="12032" width="9.140625" style="1"/>
    <col min="12033" max="12033" width="7.42578125" style="1" customWidth="1"/>
    <col min="12034" max="12034" width="45.42578125" style="1" customWidth="1"/>
    <col min="12035" max="12035" width="4.5703125" style="1" customWidth="1"/>
    <col min="12036" max="12036" width="9.5703125" style="1" customWidth="1"/>
    <col min="12037" max="12037" width="12.7109375" style="1" customWidth="1"/>
    <col min="12038" max="12038" width="14" style="1" customWidth="1"/>
    <col min="12039" max="12040" width="9.140625" style="1"/>
    <col min="12041" max="12041" width="13.42578125" style="1" customWidth="1"/>
    <col min="12042" max="12288" width="9.140625" style="1"/>
    <col min="12289" max="12289" width="7.42578125" style="1" customWidth="1"/>
    <col min="12290" max="12290" width="45.42578125" style="1" customWidth="1"/>
    <col min="12291" max="12291" width="4.5703125" style="1" customWidth="1"/>
    <col min="12292" max="12292" width="9.5703125" style="1" customWidth="1"/>
    <col min="12293" max="12293" width="12.7109375" style="1" customWidth="1"/>
    <col min="12294" max="12294" width="14" style="1" customWidth="1"/>
    <col min="12295" max="12296" width="9.140625" style="1"/>
    <col min="12297" max="12297" width="13.42578125" style="1" customWidth="1"/>
    <col min="12298" max="12544" width="9.140625" style="1"/>
    <col min="12545" max="12545" width="7.42578125" style="1" customWidth="1"/>
    <col min="12546" max="12546" width="45.42578125" style="1" customWidth="1"/>
    <col min="12547" max="12547" width="4.5703125" style="1" customWidth="1"/>
    <col min="12548" max="12548" width="9.5703125" style="1" customWidth="1"/>
    <col min="12549" max="12549" width="12.7109375" style="1" customWidth="1"/>
    <col min="12550" max="12550" width="14" style="1" customWidth="1"/>
    <col min="12551" max="12552" width="9.140625" style="1"/>
    <col min="12553" max="12553" width="13.42578125" style="1" customWidth="1"/>
    <col min="12554" max="12800" width="9.140625" style="1"/>
    <col min="12801" max="12801" width="7.42578125" style="1" customWidth="1"/>
    <col min="12802" max="12802" width="45.42578125" style="1" customWidth="1"/>
    <col min="12803" max="12803" width="4.5703125" style="1" customWidth="1"/>
    <col min="12804" max="12804" width="9.5703125" style="1" customWidth="1"/>
    <col min="12805" max="12805" width="12.7109375" style="1" customWidth="1"/>
    <col min="12806" max="12806" width="14" style="1" customWidth="1"/>
    <col min="12807" max="12808" width="9.140625" style="1"/>
    <col min="12809" max="12809" width="13.42578125" style="1" customWidth="1"/>
    <col min="12810" max="13056" width="9.140625" style="1"/>
    <col min="13057" max="13057" width="7.42578125" style="1" customWidth="1"/>
    <col min="13058" max="13058" width="45.42578125" style="1" customWidth="1"/>
    <col min="13059" max="13059" width="4.5703125" style="1" customWidth="1"/>
    <col min="13060" max="13060" width="9.5703125" style="1" customWidth="1"/>
    <col min="13061" max="13061" width="12.7109375" style="1" customWidth="1"/>
    <col min="13062" max="13062" width="14" style="1" customWidth="1"/>
    <col min="13063" max="13064" width="9.140625" style="1"/>
    <col min="13065" max="13065" width="13.42578125" style="1" customWidth="1"/>
    <col min="13066" max="13312" width="9.140625" style="1"/>
    <col min="13313" max="13313" width="7.42578125" style="1" customWidth="1"/>
    <col min="13314" max="13314" width="45.42578125" style="1" customWidth="1"/>
    <col min="13315" max="13315" width="4.5703125" style="1" customWidth="1"/>
    <col min="13316" max="13316" width="9.5703125" style="1" customWidth="1"/>
    <col min="13317" max="13317" width="12.7109375" style="1" customWidth="1"/>
    <col min="13318" max="13318" width="14" style="1" customWidth="1"/>
    <col min="13319" max="13320" width="9.140625" style="1"/>
    <col min="13321" max="13321" width="13.42578125" style="1" customWidth="1"/>
    <col min="13322" max="13568" width="9.140625" style="1"/>
    <col min="13569" max="13569" width="7.42578125" style="1" customWidth="1"/>
    <col min="13570" max="13570" width="45.42578125" style="1" customWidth="1"/>
    <col min="13571" max="13571" width="4.5703125" style="1" customWidth="1"/>
    <col min="13572" max="13572" width="9.5703125" style="1" customWidth="1"/>
    <col min="13573" max="13573" width="12.7109375" style="1" customWidth="1"/>
    <col min="13574" max="13574" width="14" style="1" customWidth="1"/>
    <col min="13575" max="13576" width="9.140625" style="1"/>
    <col min="13577" max="13577" width="13.42578125" style="1" customWidth="1"/>
    <col min="13578" max="13824" width="9.140625" style="1"/>
    <col min="13825" max="13825" width="7.42578125" style="1" customWidth="1"/>
    <col min="13826" max="13826" width="45.42578125" style="1" customWidth="1"/>
    <col min="13827" max="13827" width="4.5703125" style="1" customWidth="1"/>
    <col min="13828" max="13828" width="9.5703125" style="1" customWidth="1"/>
    <col min="13829" max="13829" width="12.7109375" style="1" customWidth="1"/>
    <col min="13830" max="13830" width="14" style="1" customWidth="1"/>
    <col min="13831" max="13832" width="9.140625" style="1"/>
    <col min="13833" max="13833" width="13.42578125" style="1" customWidth="1"/>
    <col min="13834" max="14080" width="9.140625" style="1"/>
    <col min="14081" max="14081" width="7.42578125" style="1" customWidth="1"/>
    <col min="14082" max="14082" width="45.42578125" style="1" customWidth="1"/>
    <col min="14083" max="14083" width="4.5703125" style="1" customWidth="1"/>
    <col min="14084" max="14084" width="9.5703125" style="1" customWidth="1"/>
    <col min="14085" max="14085" width="12.7109375" style="1" customWidth="1"/>
    <col min="14086" max="14086" width="14" style="1" customWidth="1"/>
    <col min="14087" max="14088" width="9.140625" style="1"/>
    <col min="14089" max="14089" width="13.42578125" style="1" customWidth="1"/>
    <col min="14090" max="14336" width="9.140625" style="1"/>
    <col min="14337" max="14337" width="7.42578125" style="1" customWidth="1"/>
    <col min="14338" max="14338" width="45.42578125" style="1" customWidth="1"/>
    <col min="14339" max="14339" width="4.5703125" style="1" customWidth="1"/>
    <col min="14340" max="14340" width="9.5703125" style="1" customWidth="1"/>
    <col min="14341" max="14341" width="12.7109375" style="1" customWidth="1"/>
    <col min="14342" max="14342" width="14" style="1" customWidth="1"/>
    <col min="14343" max="14344" width="9.140625" style="1"/>
    <col min="14345" max="14345" width="13.42578125" style="1" customWidth="1"/>
    <col min="14346" max="14592" width="9.140625" style="1"/>
    <col min="14593" max="14593" width="7.42578125" style="1" customWidth="1"/>
    <col min="14594" max="14594" width="45.42578125" style="1" customWidth="1"/>
    <col min="14595" max="14595" width="4.5703125" style="1" customWidth="1"/>
    <col min="14596" max="14596" width="9.5703125" style="1" customWidth="1"/>
    <col min="14597" max="14597" width="12.7109375" style="1" customWidth="1"/>
    <col min="14598" max="14598" width="14" style="1" customWidth="1"/>
    <col min="14599" max="14600" width="9.140625" style="1"/>
    <col min="14601" max="14601" width="13.42578125" style="1" customWidth="1"/>
    <col min="14602" max="14848" width="9.140625" style="1"/>
    <col min="14849" max="14849" width="7.42578125" style="1" customWidth="1"/>
    <col min="14850" max="14850" width="45.42578125" style="1" customWidth="1"/>
    <col min="14851" max="14851" width="4.5703125" style="1" customWidth="1"/>
    <col min="14852" max="14852" width="9.5703125" style="1" customWidth="1"/>
    <col min="14853" max="14853" width="12.7109375" style="1" customWidth="1"/>
    <col min="14854" max="14854" width="14" style="1" customWidth="1"/>
    <col min="14855" max="14856" width="9.140625" style="1"/>
    <col min="14857" max="14857" width="13.42578125" style="1" customWidth="1"/>
    <col min="14858" max="15104" width="9.140625" style="1"/>
    <col min="15105" max="15105" width="7.42578125" style="1" customWidth="1"/>
    <col min="15106" max="15106" width="45.42578125" style="1" customWidth="1"/>
    <col min="15107" max="15107" width="4.5703125" style="1" customWidth="1"/>
    <col min="15108" max="15108" width="9.5703125" style="1" customWidth="1"/>
    <col min="15109" max="15109" width="12.7109375" style="1" customWidth="1"/>
    <col min="15110" max="15110" width="14" style="1" customWidth="1"/>
    <col min="15111" max="15112" width="9.140625" style="1"/>
    <col min="15113" max="15113" width="13.42578125" style="1" customWidth="1"/>
    <col min="15114" max="15360" width="9.140625" style="1"/>
    <col min="15361" max="15361" width="7.42578125" style="1" customWidth="1"/>
    <col min="15362" max="15362" width="45.42578125" style="1" customWidth="1"/>
    <col min="15363" max="15363" width="4.5703125" style="1" customWidth="1"/>
    <col min="15364" max="15364" width="9.5703125" style="1" customWidth="1"/>
    <col min="15365" max="15365" width="12.7109375" style="1" customWidth="1"/>
    <col min="15366" max="15366" width="14" style="1" customWidth="1"/>
    <col min="15367" max="15368" width="9.140625" style="1"/>
    <col min="15369" max="15369" width="13.42578125" style="1" customWidth="1"/>
    <col min="15370" max="15616" width="9.140625" style="1"/>
    <col min="15617" max="15617" width="7.42578125" style="1" customWidth="1"/>
    <col min="15618" max="15618" width="45.42578125" style="1" customWidth="1"/>
    <col min="15619" max="15619" width="4.5703125" style="1" customWidth="1"/>
    <col min="15620" max="15620" width="9.5703125" style="1" customWidth="1"/>
    <col min="15621" max="15621" width="12.7109375" style="1" customWidth="1"/>
    <col min="15622" max="15622" width="14" style="1" customWidth="1"/>
    <col min="15623" max="15624" width="9.140625" style="1"/>
    <col min="15625" max="15625" width="13.42578125" style="1" customWidth="1"/>
    <col min="15626" max="15872" width="9.140625" style="1"/>
    <col min="15873" max="15873" width="7.42578125" style="1" customWidth="1"/>
    <col min="15874" max="15874" width="45.42578125" style="1" customWidth="1"/>
    <col min="15875" max="15875" width="4.5703125" style="1" customWidth="1"/>
    <col min="15876" max="15876" width="9.5703125" style="1" customWidth="1"/>
    <col min="15877" max="15877" width="12.7109375" style="1" customWidth="1"/>
    <col min="15878" max="15878" width="14" style="1" customWidth="1"/>
    <col min="15879" max="15880" width="9.140625" style="1"/>
    <col min="15881" max="15881" width="13.42578125" style="1" customWidth="1"/>
    <col min="15882" max="16128" width="9.140625" style="1"/>
    <col min="16129" max="16129" width="7.42578125" style="1" customWidth="1"/>
    <col min="16130" max="16130" width="45.42578125" style="1" customWidth="1"/>
    <col min="16131" max="16131" width="4.5703125" style="1" customWidth="1"/>
    <col min="16132" max="16132" width="9.5703125" style="1" customWidth="1"/>
    <col min="16133" max="16133" width="12.7109375" style="1" customWidth="1"/>
    <col min="16134" max="16134" width="14" style="1" customWidth="1"/>
    <col min="16135" max="16136" width="9.140625" style="1"/>
    <col min="16137" max="16137" width="13.42578125" style="1" customWidth="1"/>
    <col min="16138" max="16380" width="9.140625" style="1"/>
    <col min="16381" max="16381" width="9.140625" style="1" customWidth="1"/>
    <col min="16382" max="16384" width="9.140625" style="1"/>
  </cols>
  <sheetData>
    <row r="1" spans="1:24" ht="3.75" customHeight="1" thickBot="1"/>
    <row r="2" spans="1:24" ht="15" customHeight="1" thickBot="1">
      <c r="B2" s="211" t="s">
        <v>40</v>
      </c>
      <c r="C2" s="212" t="s">
        <v>162</v>
      </c>
      <c r="D2" s="213"/>
      <c r="E2" s="213"/>
      <c r="F2" s="213"/>
      <c r="G2" s="213"/>
      <c r="H2" s="213"/>
      <c r="I2" s="213"/>
      <c r="J2" s="213"/>
      <c r="K2" s="213"/>
      <c r="L2" s="213"/>
      <c r="M2" s="272"/>
      <c r="N2" s="344" t="s">
        <v>1135</v>
      </c>
      <c r="O2" s="344"/>
      <c r="P2" s="344"/>
      <c r="Q2" s="344"/>
      <c r="R2" s="344"/>
      <c r="S2" s="344"/>
      <c r="T2" s="344"/>
      <c r="U2" s="344"/>
      <c r="V2" s="344"/>
      <c r="W2" s="344"/>
    </row>
    <row r="3" spans="1:24" ht="5.25" customHeight="1" thickBot="1">
      <c r="B3" s="12"/>
      <c r="C3" s="115"/>
      <c r="D3" s="6"/>
      <c r="E3" s="6"/>
      <c r="F3" s="6"/>
      <c r="G3" s="6"/>
      <c r="H3" s="6"/>
      <c r="I3" s="6"/>
      <c r="J3" s="257"/>
      <c r="N3" s="344"/>
      <c r="O3" s="344"/>
      <c r="P3" s="344"/>
      <c r="Q3" s="344"/>
      <c r="R3" s="344"/>
      <c r="S3" s="344"/>
      <c r="T3" s="344"/>
      <c r="U3" s="344"/>
      <c r="V3" s="344"/>
      <c r="W3" s="344"/>
    </row>
    <row r="4" spans="1:24" ht="15" customHeight="1" thickBot="1">
      <c r="A4" s="11"/>
      <c r="B4" s="268" t="s">
        <v>65</v>
      </c>
      <c r="C4" s="268" t="s">
        <v>164</v>
      </c>
      <c r="D4" s="269"/>
      <c r="E4" s="274"/>
      <c r="F4" s="13"/>
      <c r="G4" s="217" t="s">
        <v>6</v>
      </c>
      <c r="H4" s="270" t="s">
        <v>41</v>
      </c>
      <c r="I4" s="219"/>
      <c r="J4" s="258"/>
      <c r="N4" s="344"/>
      <c r="O4" s="344"/>
      <c r="P4" s="344"/>
      <c r="Q4" s="344"/>
      <c r="R4" s="344"/>
      <c r="S4" s="344"/>
      <c r="T4" s="344"/>
      <c r="U4" s="344"/>
      <c r="V4" s="344"/>
      <c r="W4" s="344"/>
    </row>
    <row r="5" spans="1:24" ht="3.75" customHeight="1" thickBot="1">
      <c r="B5" s="60"/>
      <c r="C5" s="61"/>
      <c r="D5" s="61"/>
      <c r="E5" s="249"/>
      <c r="F5" s="14"/>
      <c r="G5" s="218"/>
      <c r="H5" s="271"/>
      <c r="I5" s="220"/>
      <c r="J5" s="258"/>
    </row>
    <row r="6" spans="1:24" ht="15" customHeight="1" thickBot="1">
      <c r="B6" s="265" t="s">
        <v>64</v>
      </c>
      <c r="C6" s="269"/>
      <c r="D6" s="269"/>
      <c r="E6" s="274"/>
      <c r="F6" s="6"/>
      <c r="G6" s="214">
        <f>ROUND(BDI!$D$15,4)</f>
        <v>0.26</v>
      </c>
      <c r="H6" s="223" t="s">
        <v>1150</v>
      </c>
      <c r="I6" s="224"/>
      <c r="J6" s="259"/>
    </row>
    <row r="7" spans="1:24" ht="3.75" customHeight="1" thickBot="1">
      <c r="B7" s="60"/>
      <c r="C7" s="61"/>
      <c r="D7" s="61"/>
      <c r="E7" s="264"/>
      <c r="F7" s="6"/>
      <c r="G7" s="215"/>
      <c r="H7" s="225"/>
      <c r="I7" s="226"/>
      <c r="J7" s="239"/>
      <c r="N7" s="251"/>
      <c r="O7" s="251"/>
      <c r="P7" s="251"/>
      <c r="Q7" s="251"/>
      <c r="R7" s="251"/>
      <c r="S7" s="251"/>
      <c r="T7" s="251"/>
      <c r="U7" s="251"/>
      <c r="V7" s="251"/>
      <c r="W7" s="251"/>
    </row>
    <row r="8" spans="1:24" ht="22.5" customHeight="1" thickBot="1">
      <c r="A8" s="11"/>
      <c r="B8" s="268" t="s">
        <v>66</v>
      </c>
      <c r="C8" s="269"/>
      <c r="D8" s="269" t="s">
        <v>102</v>
      </c>
      <c r="E8" s="274"/>
      <c r="F8" s="15"/>
      <c r="G8" s="216"/>
      <c r="H8" s="227"/>
      <c r="I8" s="228"/>
      <c r="J8" s="239"/>
      <c r="N8" s="252"/>
      <c r="O8" s="252"/>
      <c r="P8" s="252"/>
      <c r="Q8" s="343" t="s">
        <v>1134</v>
      </c>
      <c r="R8" s="343"/>
      <c r="S8" s="343"/>
      <c r="T8" s="252"/>
      <c r="U8" s="252"/>
      <c r="V8" s="252"/>
      <c r="W8" s="252"/>
    </row>
    <row r="9" spans="1:24" ht="27" customHeight="1" thickBot="1">
      <c r="B9" s="4"/>
      <c r="C9" s="5"/>
      <c r="D9" s="5"/>
      <c r="E9" s="6"/>
      <c r="F9" s="6"/>
      <c r="G9" s="9"/>
      <c r="H9" s="10"/>
      <c r="I9" s="10"/>
      <c r="J9" s="10"/>
      <c r="N9" s="252"/>
      <c r="O9" s="252"/>
      <c r="P9" s="252"/>
      <c r="Q9" s="266" t="s">
        <v>2</v>
      </c>
      <c r="R9" s="266" t="s">
        <v>19</v>
      </c>
      <c r="S9" s="266" t="s">
        <v>28</v>
      </c>
      <c r="T9" s="252"/>
      <c r="U9" s="252"/>
      <c r="V9" s="285"/>
      <c r="W9" s="252"/>
    </row>
    <row r="10" spans="1:24" ht="27" customHeight="1" thickBot="1">
      <c r="B10" s="206" t="s">
        <v>27</v>
      </c>
      <c r="C10" s="221"/>
      <c r="D10" s="221"/>
      <c r="E10" s="221"/>
      <c r="F10" s="221"/>
      <c r="G10" s="221"/>
      <c r="H10" s="221"/>
      <c r="I10" s="222"/>
      <c r="J10" s="205"/>
      <c r="N10" s="252"/>
      <c r="O10" s="252"/>
      <c r="P10" s="252"/>
      <c r="Q10" s="262" t="s">
        <v>1126</v>
      </c>
      <c r="R10" s="263">
        <v>0.8</v>
      </c>
      <c r="S10" s="267">
        <v>618021</v>
      </c>
      <c r="T10" s="294"/>
      <c r="U10" s="252"/>
      <c r="V10" s="252"/>
      <c r="W10" s="252"/>
    </row>
    <row r="11" spans="1:24" ht="26.25" customHeight="1" thickBot="1">
      <c r="B11" s="4"/>
      <c r="C11" s="5"/>
      <c r="D11" s="5"/>
      <c r="E11" s="6"/>
      <c r="F11" s="6"/>
      <c r="G11" s="7"/>
      <c r="H11" s="7"/>
      <c r="I11" s="7"/>
      <c r="J11" s="7"/>
      <c r="N11" s="252"/>
      <c r="O11" s="252"/>
      <c r="P11" s="252"/>
      <c r="Q11" s="261" t="s">
        <v>1128</v>
      </c>
      <c r="R11" s="263">
        <v>0.15</v>
      </c>
      <c r="S11" s="267">
        <v>137884.89250000002</v>
      </c>
      <c r="T11" s="252"/>
      <c r="U11" s="252"/>
      <c r="V11" s="252"/>
      <c r="W11" s="252"/>
      <c r="X11" s="295"/>
    </row>
    <row r="12" spans="1:24" s="16" customFormat="1" ht="37.9" customHeight="1" thickBot="1">
      <c r="B12" s="206" t="s">
        <v>2</v>
      </c>
      <c r="C12" s="65" t="s">
        <v>3</v>
      </c>
      <c r="D12" s="66" t="s">
        <v>4</v>
      </c>
      <c r="E12" s="66" t="s">
        <v>9</v>
      </c>
      <c r="F12" s="67" t="s">
        <v>10</v>
      </c>
      <c r="G12" s="68" t="s">
        <v>11</v>
      </c>
      <c r="H12" s="69" t="s">
        <v>12</v>
      </c>
      <c r="I12" s="237" t="s">
        <v>5</v>
      </c>
      <c r="J12" s="236" t="s">
        <v>1124</v>
      </c>
      <c r="K12" s="238" t="s">
        <v>1123</v>
      </c>
      <c r="L12" s="236" t="s">
        <v>1125</v>
      </c>
      <c r="M12" s="236" t="s">
        <v>1129</v>
      </c>
      <c r="N12" s="252"/>
      <c r="O12" s="252"/>
      <c r="P12" s="252"/>
      <c r="Q12" s="260" t="s">
        <v>1127</v>
      </c>
      <c r="R12" s="263">
        <v>0.05</v>
      </c>
      <c r="S12" s="267">
        <v>49101.709999999977</v>
      </c>
      <c r="T12" s="285"/>
      <c r="U12" s="285"/>
      <c r="V12" s="285"/>
      <c r="W12" s="285"/>
    </row>
    <row r="13" spans="1:24" s="23" customFormat="1" ht="24" customHeight="1">
      <c r="A13" s="129"/>
      <c r="B13" s="278" t="s">
        <v>754</v>
      </c>
      <c r="C13" s="278">
        <v>102494</v>
      </c>
      <c r="D13" s="279" t="s">
        <v>698</v>
      </c>
      <c r="E13" s="280" t="s">
        <v>42</v>
      </c>
      <c r="F13" s="281">
        <v>812.28</v>
      </c>
      <c r="G13" s="281">
        <v>66.760000000000005</v>
      </c>
      <c r="H13" s="281">
        <f>ROUND(G13*(1+$G$6),2)</f>
        <v>84.12</v>
      </c>
      <c r="I13" s="281">
        <f t="shared" ref="I13:I44" si="0">ROUND(F13*H13,2)</f>
        <v>68328.990000000005</v>
      </c>
      <c r="J13" s="282">
        <f t="shared" ref="J13:J44" si="1">I13/$I$190</f>
        <v>9.6476038135213327E-2</v>
      </c>
      <c r="K13" s="283">
        <f>I13</f>
        <v>68328.990000000005</v>
      </c>
      <c r="L13" s="282">
        <f>J13</f>
        <v>9.6476038135213327E-2</v>
      </c>
      <c r="M13" s="284" t="str">
        <f>IF(L13&lt;80%,"A",IF(L13&lt;95%,"B","C"))</f>
        <v>A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4" s="23" customFormat="1" ht="24" customHeight="1">
      <c r="A14" s="16"/>
      <c r="B14" s="244" t="s">
        <v>99</v>
      </c>
      <c r="C14" s="244">
        <v>90776</v>
      </c>
      <c r="D14" s="245" t="s">
        <v>236</v>
      </c>
      <c r="E14" s="275" t="s">
        <v>52</v>
      </c>
      <c r="F14" s="246">
        <v>960</v>
      </c>
      <c r="G14" s="246">
        <v>42.55</v>
      </c>
      <c r="H14" s="246">
        <f>ROUND(G14*(1+BDI),2)</f>
        <v>53.61</v>
      </c>
      <c r="I14" s="246">
        <f t="shared" si="0"/>
        <v>51465.599999999999</v>
      </c>
      <c r="J14" s="247">
        <f t="shared" si="1"/>
        <v>7.2666040991556213E-2</v>
      </c>
      <c r="K14" s="248">
        <f>I14+K13</f>
        <v>119794.59</v>
      </c>
      <c r="L14" s="247">
        <f>J14+L13</f>
        <v>0.16914207912676954</v>
      </c>
      <c r="M14" s="273" t="str">
        <f t="shared" ref="M14:M72" si="2">IF(L14&lt;80%,"A",IF(L14&lt;95%,"B","C"))</f>
        <v>A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4" s="23" customFormat="1" ht="31.5" customHeight="1">
      <c r="A15" s="16"/>
      <c r="B15" s="244" t="s">
        <v>1</v>
      </c>
      <c r="C15" s="244">
        <v>90778</v>
      </c>
      <c r="D15" s="245" t="s">
        <v>237</v>
      </c>
      <c r="E15" s="275" t="s">
        <v>52</v>
      </c>
      <c r="F15" s="246">
        <v>360</v>
      </c>
      <c r="G15" s="246">
        <v>106.98</v>
      </c>
      <c r="H15" s="246">
        <f>ROUND(G15*(1+BDI),2)</f>
        <v>134.79</v>
      </c>
      <c r="I15" s="246">
        <f t="shared" si="0"/>
        <v>48524.4</v>
      </c>
      <c r="J15" s="247">
        <f t="shared" si="1"/>
        <v>6.8513260109484206E-2</v>
      </c>
      <c r="K15" s="248">
        <f t="shared" ref="K15:K78" si="3">I15+K14</f>
        <v>168318.99</v>
      </c>
      <c r="L15" s="247">
        <f t="shared" ref="L15:L78" si="4">J15+L14</f>
        <v>0.23765533923625376</v>
      </c>
      <c r="M15" s="273" t="str">
        <f t="shared" si="2"/>
        <v>A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4" s="23" customFormat="1" ht="30.75" customHeight="1">
      <c r="A16" s="129"/>
      <c r="B16" s="244" t="s">
        <v>430</v>
      </c>
      <c r="C16" s="244">
        <v>104598</v>
      </c>
      <c r="D16" s="245" t="s">
        <v>390</v>
      </c>
      <c r="E16" s="275" t="s">
        <v>42</v>
      </c>
      <c r="F16" s="246">
        <v>165.08</v>
      </c>
      <c r="G16" s="246">
        <v>167.8</v>
      </c>
      <c r="H16" s="246">
        <f t="shared" ref="H16:H39" si="5">ROUND(G16*(1+$G$6),2)</f>
        <v>211.43</v>
      </c>
      <c r="I16" s="246">
        <f t="shared" si="0"/>
        <v>34902.86</v>
      </c>
      <c r="J16" s="247">
        <f t="shared" si="1"/>
        <v>4.9280541866461247E-2</v>
      </c>
      <c r="K16" s="248">
        <f t="shared" si="3"/>
        <v>203221.84999999998</v>
      </c>
      <c r="L16" s="247">
        <f t="shared" si="4"/>
        <v>0.28693588110271501</v>
      </c>
      <c r="M16" s="273" t="str">
        <f t="shared" si="2"/>
        <v>A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pans="1:23" s="23" customFormat="1" ht="24" customHeight="1">
      <c r="A17" s="129"/>
      <c r="B17" s="244" t="s">
        <v>434</v>
      </c>
      <c r="C17" s="244" t="s">
        <v>189</v>
      </c>
      <c r="D17" s="245" t="s">
        <v>400</v>
      </c>
      <c r="E17" s="275" t="s">
        <v>42</v>
      </c>
      <c r="F17" s="246">
        <v>21.94</v>
      </c>
      <c r="G17" s="246">
        <v>1214.9100000000001</v>
      </c>
      <c r="H17" s="246">
        <f t="shared" si="5"/>
        <v>1530.79</v>
      </c>
      <c r="I17" s="246">
        <f t="shared" si="0"/>
        <v>33585.53</v>
      </c>
      <c r="J17" s="247">
        <f t="shared" si="1"/>
        <v>4.7420558580938355E-2</v>
      </c>
      <c r="K17" s="248">
        <f t="shared" si="3"/>
        <v>236807.37999999998</v>
      </c>
      <c r="L17" s="247">
        <f t="shared" si="4"/>
        <v>0.33435643968365336</v>
      </c>
      <c r="M17" s="273" t="str">
        <f t="shared" si="2"/>
        <v>A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1:23" s="22" customFormat="1" ht="18" customHeight="1">
      <c r="A18" s="129"/>
      <c r="B18" s="244" t="s">
        <v>1056</v>
      </c>
      <c r="C18" s="244" t="s">
        <v>554</v>
      </c>
      <c r="D18" s="245" t="s">
        <v>553</v>
      </c>
      <c r="E18" s="275" t="s">
        <v>42</v>
      </c>
      <c r="F18" s="246">
        <v>124.26</v>
      </c>
      <c r="G18" s="246">
        <v>189.13</v>
      </c>
      <c r="H18" s="246">
        <f t="shared" si="5"/>
        <v>238.3</v>
      </c>
      <c r="I18" s="246">
        <f t="shared" si="0"/>
        <v>29611.16</v>
      </c>
      <c r="J18" s="247">
        <f t="shared" si="1"/>
        <v>4.1809009636874526E-2</v>
      </c>
      <c r="K18" s="248">
        <f t="shared" si="3"/>
        <v>266418.53999999998</v>
      </c>
      <c r="L18" s="247">
        <f t="shared" si="4"/>
        <v>0.37616544932052787</v>
      </c>
      <c r="M18" s="273" t="str">
        <f t="shared" si="2"/>
        <v>A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pans="1:23" s="234" customFormat="1" ht="26.25" customHeight="1">
      <c r="A19" s="23"/>
      <c r="B19" s="244" t="s">
        <v>214</v>
      </c>
      <c r="C19" s="244">
        <v>88497</v>
      </c>
      <c r="D19" s="245" t="s">
        <v>111</v>
      </c>
      <c r="E19" s="275" t="s">
        <v>42</v>
      </c>
      <c r="F19" s="246">
        <v>1041.94</v>
      </c>
      <c r="G19" s="246">
        <v>19.649999999999999</v>
      </c>
      <c r="H19" s="246">
        <f t="shared" si="5"/>
        <v>24.76</v>
      </c>
      <c r="I19" s="246">
        <f t="shared" si="0"/>
        <v>25798.43</v>
      </c>
      <c r="J19" s="247">
        <f t="shared" si="1"/>
        <v>3.6425685737614906E-2</v>
      </c>
      <c r="K19" s="248">
        <f t="shared" si="3"/>
        <v>292216.96999999997</v>
      </c>
      <c r="L19" s="247">
        <f t="shared" si="4"/>
        <v>0.41259113505814277</v>
      </c>
      <c r="M19" s="273" t="str">
        <f t="shared" si="2"/>
        <v>A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pans="1:23" s="22" customFormat="1" ht="18" customHeight="1">
      <c r="A20" s="129"/>
      <c r="B20" s="244" t="s">
        <v>910</v>
      </c>
      <c r="C20" s="244">
        <v>96361</v>
      </c>
      <c r="D20" s="245" t="s">
        <v>392</v>
      </c>
      <c r="E20" s="275" t="s">
        <v>42</v>
      </c>
      <c r="F20" s="246">
        <v>141.30000000000001</v>
      </c>
      <c r="G20" s="246">
        <v>127.55</v>
      </c>
      <c r="H20" s="246">
        <f t="shared" si="5"/>
        <v>160.71</v>
      </c>
      <c r="I20" s="246">
        <f t="shared" si="0"/>
        <v>22708.32</v>
      </c>
      <c r="J20" s="247">
        <f t="shared" si="1"/>
        <v>3.2062653733161098E-2</v>
      </c>
      <c r="K20" s="248">
        <f t="shared" si="3"/>
        <v>314925.28999999998</v>
      </c>
      <c r="L20" s="247">
        <f t="shared" si="4"/>
        <v>0.44465378879130385</v>
      </c>
      <c r="M20" s="273" t="str">
        <f t="shared" si="2"/>
        <v>A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3" s="234" customFormat="1" ht="18" customHeight="1">
      <c r="A21" s="129"/>
      <c r="B21" s="244" t="s">
        <v>1052</v>
      </c>
      <c r="C21" s="244">
        <v>88472</v>
      </c>
      <c r="D21" s="245" t="s">
        <v>765</v>
      </c>
      <c r="E21" s="275" t="s">
        <v>42</v>
      </c>
      <c r="F21" s="246">
        <v>113.78</v>
      </c>
      <c r="G21" s="246">
        <v>144.59</v>
      </c>
      <c r="H21" s="246">
        <f t="shared" si="5"/>
        <v>182.18</v>
      </c>
      <c r="I21" s="246">
        <f t="shared" si="0"/>
        <v>20728.439999999999</v>
      </c>
      <c r="J21" s="247">
        <f t="shared" si="1"/>
        <v>2.9267193440492553E-2</v>
      </c>
      <c r="K21" s="248">
        <f t="shared" si="3"/>
        <v>335653.73</v>
      </c>
      <c r="L21" s="247">
        <f t="shared" si="4"/>
        <v>0.47392098223179641</v>
      </c>
      <c r="M21" s="273" t="str">
        <f>IF(L21&lt;80%,"A",IF(L21&lt;95%,"B","C"))</f>
        <v>A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pans="1:23" s="129" customFormat="1" ht="18" customHeight="1">
      <c r="B22" s="244" t="s">
        <v>321</v>
      </c>
      <c r="C22" s="244">
        <v>88489</v>
      </c>
      <c r="D22" s="245" t="s">
        <v>98</v>
      </c>
      <c r="E22" s="275" t="s">
        <v>42</v>
      </c>
      <c r="F22" s="246">
        <v>1041.94</v>
      </c>
      <c r="G22" s="246">
        <v>13.68</v>
      </c>
      <c r="H22" s="246">
        <f t="shared" si="5"/>
        <v>17.239999999999998</v>
      </c>
      <c r="I22" s="246">
        <f t="shared" si="0"/>
        <v>17963.05</v>
      </c>
      <c r="J22" s="247">
        <f t="shared" si="1"/>
        <v>2.5362644710901532E-2</v>
      </c>
      <c r="K22" s="248">
        <f t="shared" si="3"/>
        <v>353616.77999999997</v>
      </c>
      <c r="L22" s="247">
        <f t="shared" si="4"/>
        <v>0.49928362694269796</v>
      </c>
      <c r="M22" s="273" t="str">
        <f t="shared" si="2"/>
        <v>A</v>
      </c>
    </row>
    <row r="23" spans="1:23" s="129" customFormat="1" ht="18" customHeight="1">
      <c r="B23" s="244" t="s">
        <v>211</v>
      </c>
      <c r="C23" s="244" t="s">
        <v>240</v>
      </c>
      <c r="D23" s="245" t="s">
        <v>241</v>
      </c>
      <c r="E23" s="275" t="s">
        <v>149</v>
      </c>
      <c r="F23" s="246">
        <v>135.03</v>
      </c>
      <c r="G23" s="246">
        <v>105.04</v>
      </c>
      <c r="H23" s="246">
        <f t="shared" si="5"/>
        <v>132.35</v>
      </c>
      <c r="I23" s="246">
        <f t="shared" si="0"/>
        <v>17871.22</v>
      </c>
      <c r="J23" s="247">
        <f t="shared" si="1"/>
        <v>2.5232986792908651E-2</v>
      </c>
      <c r="K23" s="248">
        <f t="shared" si="3"/>
        <v>371488</v>
      </c>
      <c r="L23" s="247">
        <f t="shared" si="4"/>
        <v>0.52451661373560665</v>
      </c>
      <c r="M23" s="273" t="str">
        <f t="shared" si="2"/>
        <v>A</v>
      </c>
    </row>
    <row r="24" spans="1:23" s="22" customFormat="1" ht="18" customHeight="1">
      <c r="A24" s="23"/>
      <c r="B24" s="244" t="s">
        <v>712</v>
      </c>
      <c r="C24" s="244">
        <v>88416</v>
      </c>
      <c r="D24" s="245" t="s">
        <v>680</v>
      </c>
      <c r="E24" s="275" t="s">
        <v>42</v>
      </c>
      <c r="F24" s="246">
        <v>620.73</v>
      </c>
      <c r="G24" s="246">
        <v>22.08</v>
      </c>
      <c r="H24" s="246">
        <f t="shared" si="5"/>
        <v>27.82</v>
      </c>
      <c r="I24" s="246">
        <f t="shared" si="0"/>
        <v>17268.71</v>
      </c>
      <c r="J24" s="247">
        <f t="shared" si="1"/>
        <v>2.4382282315397016E-2</v>
      </c>
      <c r="K24" s="248">
        <f t="shared" si="3"/>
        <v>388756.71</v>
      </c>
      <c r="L24" s="247">
        <f t="shared" si="4"/>
        <v>0.54889889605100362</v>
      </c>
      <c r="M24" s="273" t="str">
        <f t="shared" si="2"/>
        <v>A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pans="1:23" s="22" customFormat="1" ht="18" customHeight="1">
      <c r="A25" s="23"/>
      <c r="B25" s="244" t="s">
        <v>208</v>
      </c>
      <c r="C25" s="244" t="str">
        <f>COMPOSIÇÕES!C7</f>
        <v>COMP001</v>
      </c>
      <c r="D25" s="245" t="s">
        <v>183</v>
      </c>
      <c r="E25" s="275" t="s">
        <v>43</v>
      </c>
      <c r="F25" s="246">
        <v>125.35</v>
      </c>
      <c r="G25" s="246">
        <v>107.32</v>
      </c>
      <c r="H25" s="246">
        <f t="shared" si="5"/>
        <v>135.22</v>
      </c>
      <c r="I25" s="246">
        <f t="shared" si="0"/>
        <v>16949.830000000002</v>
      </c>
      <c r="J25" s="247">
        <f t="shared" si="1"/>
        <v>2.3932044736288113E-2</v>
      </c>
      <c r="K25" s="248">
        <f t="shared" si="3"/>
        <v>405706.54000000004</v>
      </c>
      <c r="L25" s="247">
        <f t="shared" si="4"/>
        <v>0.57283094078729169</v>
      </c>
      <c r="M25" s="273" t="str">
        <f t="shared" si="2"/>
        <v>A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spans="1:23" s="22" customFormat="1" ht="18" customHeight="1">
      <c r="A26" s="129"/>
      <c r="B26" s="244" t="s">
        <v>1077</v>
      </c>
      <c r="C26" s="244">
        <v>88496</v>
      </c>
      <c r="D26" s="245" t="s">
        <v>112</v>
      </c>
      <c r="E26" s="275" t="s">
        <v>42</v>
      </c>
      <c r="F26" s="246">
        <v>381.86</v>
      </c>
      <c r="G26" s="246">
        <v>35.21</v>
      </c>
      <c r="H26" s="246">
        <f t="shared" si="5"/>
        <v>44.36</v>
      </c>
      <c r="I26" s="246">
        <f t="shared" si="0"/>
        <v>16939.310000000001</v>
      </c>
      <c r="J26" s="247">
        <f t="shared" si="1"/>
        <v>2.3917191188457497E-2</v>
      </c>
      <c r="K26" s="248">
        <f t="shared" si="3"/>
        <v>422645.85000000003</v>
      </c>
      <c r="L26" s="247">
        <f t="shared" si="4"/>
        <v>0.59674813197574916</v>
      </c>
      <c r="M26" s="273" t="str">
        <f t="shared" si="2"/>
        <v>A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</row>
    <row r="27" spans="1:23" s="22" customFormat="1" ht="18" customHeight="1">
      <c r="B27" s="244" t="s">
        <v>976</v>
      </c>
      <c r="C27" s="244" t="s">
        <v>539</v>
      </c>
      <c r="D27" s="245" t="s">
        <v>876</v>
      </c>
      <c r="E27" s="275" t="s">
        <v>251</v>
      </c>
      <c r="F27" s="246">
        <v>38</v>
      </c>
      <c r="G27" s="246">
        <v>296.2</v>
      </c>
      <c r="H27" s="246">
        <f t="shared" si="5"/>
        <v>373.21</v>
      </c>
      <c r="I27" s="246">
        <f t="shared" si="0"/>
        <v>14181.98</v>
      </c>
      <c r="J27" s="247">
        <f t="shared" si="1"/>
        <v>2.0024022648554188E-2</v>
      </c>
      <c r="K27" s="248">
        <f t="shared" si="3"/>
        <v>436827.83</v>
      </c>
      <c r="L27" s="247">
        <f t="shared" si="4"/>
        <v>0.61677215462430335</v>
      </c>
      <c r="M27" s="273" t="str">
        <f t="shared" si="2"/>
        <v>A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</row>
    <row r="28" spans="1:23" s="22" customFormat="1" ht="18" customHeight="1">
      <c r="A28" s="129"/>
      <c r="B28" s="244" t="s">
        <v>707</v>
      </c>
      <c r="C28" s="244" t="s">
        <v>180</v>
      </c>
      <c r="D28" s="245" t="s">
        <v>690</v>
      </c>
      <c r="E28" s="275" t="s">
        <v>251</v>
      </c>
      <c r="F28" s="246">
        <v>6</v>
      </c>
      <c r="G28" s="246">
        <v>1719.6633333333332</v>
      </c>
      <c r="H28" s="246">
        <f t="shared" si="5"/>
        <v>2166.7800000000002</v>
      </c>
      <c r="I28" s="246">
        <f t="shared" si="0"/>
        <v>13000.68</v>
      </c>
      <c r="J28" s="247">
        <f t="shared" si="1"/>
        <v>1.8356104772860028E-2</v>
      </c>
      <c r="K28" s="248">
        <f t="shared" si="3"/>
        <v>449828.51</v>
      </c>
      <c r="L28" s="247">
        <f t="shared" si="4"/>
        <v>0.63512825939716333</v>
      </c>
      <c r="M28" s="273" t="str">
        <f t="shared" si="2"/>
        <v>A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</row>
    <row r="29" spans="1:23" s="129" customFormat="1" ht="18" customHeight="1">
      <c r="B29" s="142" t="s">
        <v>71</v>
      </c>
      <c r="C29" s="142">
        <v>91933</v>
      </c>
      <c r="D29" s="144" t="s">
        <v>1139</v>
      </c>
      <c r="E29" s="145" t="s">
        <v>43</v>
      </c>
      <c r="F29" s="246">
        <v>590</v>
      </c>
      <c r="G29" s="246">
        <v>16.32</v>
      </c>
      <c r="H29" s="246">
        <f t="shared" si="5"/>
        <v>20.56</v>
      </c>
      <c r="I29" s="246">
        <f t="shared" si="0"/>
        <v>12130.4</v>
      </c>
      <c r="J29" s="247">
        <f t="shared" si="1"/>
        <v>1.7127326673427951E-2</v>
      </c>
      <c r="K29" s="248">
        <f t="shared" si="3"/>
        <v>461958.91000000003</v>
      </c>
      <c r="L29" s="247">
        <f t="shared" si="4"/>
        <v>0.65225558607059131</v>
      </c>
      <c r="M29" s="273" t="str">
        <f t="shared" si="2"/>
        <v>A</v>
      </c>
    </row>
    <row r="30" spans="1:23" s="129" customFormat="1" ht="31.5" customHeight="1">
      <c r="B30" s="244" t="s">
        <v>1021</v>
      </c>
      <c r="C30" s="244">
        <v>97633</v>
      </c>
      <c r="D30" s="245" t="s">
        <v>353</v>
      </c>
      <c r="E30" s="275" t="s">
        <v>42</v>
      </c>
      <c r="F30" s="246">
        <v>320.01</v>
      </c>
      <c r="G30" s="246">
        <v>27.18</v>
      </c>
      <c r="H30" s="246">
        <f t="shared" si="5"/>
        <v>34.25</v>
      </c>
      <c r="I30" s="246">
        <f t="shared" si="0"/>
        <v>10960.34</v>
      </c>
      <c r="J30" s="247">
        <f t="shared" si="1"/>
        <v>1.5475278938191594E-2</v>
      </c>
      <c r="K30" s="248">
        <f t="shared" si="3"/>
        <v>472919.25000000006</v>
      </c>
      <c r="L30" s="247">
        <f t="shared" si="4"/>
        <v>0.66773086500878287</v>
      </c>
      <c r="M30" s="273" t="str">
        <f t="shared" si="2"/>
        <v>A</v>
      </c>
    </row>
    <row r="31" spans="1:23" s="129" customFormat="1" ht="18" customHeight="1">
      <c r="B31" s="244" t="s">
        <v>207</v>
      </c>
      <c r="C31" s="244" t="s">
        <v>173</v>
      </c>
      <c r="D31" s="245" t="s">
        <v>357</v>
      </c>
      <c r="E31" s="275" t="s">
        <v>42</v>
      </c>
      <c r="F31" s="246">
        <v>62.506499999999996</v>
      </c>
      <c r="G31" s="246">
        <v>122.28</v>
      </c>
      <c r="H31" s="246">
        <f t="shared" si="5"/>
        <v>154.07</v>
      </c>
      <c r="I31" s="246">
        <f t="shared" si="0"/>
        <v>9630.3799999999992</v>
      </c>
      <c r="J31" s="247">
        <f t="shared" si="1"/>
        <v>1.3597462923666743E-2</v>
      </c>
      <c r="K31" s="248">
        <f t="shared" si="3"/>
        <v>482549.63000000006</v>
      </c>
      <c r="L31" s="247">
        <f t="shared" si="4"/>
        <v>0.68132832793244957</v>
      </c>
      <c r="M31" s="273" t="str">
        <f t="shared" si="2"/>
        <v>A</v>
      </c>
    </row>
    <row r="32" spans="1:23" s="129" customFormat="1" ht="18" customHeight="1">
      <c r="B32" s="244" t="s">
        <v>213</v>
      </c>
      <c r="C32" s="244">
        <v>88485</v>
      </c>
      <c r="D32" s="245" t="s">
        <v>337</v>
      </c>
      <c r="E32" s="275" t="s">
        <v>42</v>
      </c>
      <c r="F32" s="246">
        <v>1512.07</v>
      </c>
      <c r="G32" s="246">
        <v>4.62</v>
      </c>
      <c r="H32" s="246">
        <f t="shared" si="5"/>
        <v>5.82</v>
      </c>
      <c r="I32" s="246">
        <f t="shared" si="0"/>
        <v>8800.25</v>
      </c>
      <c r="J32" s="247">
        <f t="shared" si="1"/>
        <v>1.2425373982542565E-2</v>
      </c>
      <c r="K32" s="248">
        <f t="shared" si="3"/>
        <v>491349.88000000006</v>
      </c>
      <c r="L32" s="247">
        <f t="shared" si="4"/>
        <v>0.69375370191499219</v>
      </c>
      <c r="M32" s="273" t="str">
        <f t="shared" si="2"/>
        <v>A</v>
      </c>
    </row>
    <row r="33" spans="1:13" s="129" customFormat="1" ht="30.75" customHeight="1">
      <c r="A33" s="22"/>
      <c r="B33" s="244" t="s">
        <v>403</v>
      </c>
      <c r="C33" s="244" t="s">
        <v>402</v>
      </c>
      <c r="D33" s="245" t="s">
        <v>401</v>
      </c>
      <c r="E33" s="275" t="s">
        <v>42</v>
      </c>
      <c r="F33" s="246">
        <v>21.94</v>
      </c>
      <c r="G33" s="246">
        <v>311.72000000000003</v>
      </c>
      <c r="H33" s="246">
        <f t="shared" si="5"/>
        <v>392.77</v>
      </c>
      <c r="I33" s="246">
        <f t="shared" si="0"/>
        <v>8617.3700000000008</v>
      </c>
      <c r="J33" s="247">
        <f t="shared" si="1"/>
        <v>1.2167159455236252E-2</v>
      </c>
      <c r="K33" s="248">
        <f t="shared" si="3"/>
        <v>499967.25000000006</v>
      </c>
      <c r="L33" s="247">
        <f t="shared" si="4"/>
        <v>0.70592086137022847</v>
      </c>
      <c r="M33" s="273" t="str">
        <f t="shared" si="2"/>
        <v>A</v>
      </c>
    </row>
    <row r="34" spans="1:13" s="129" customFormat="1" ht="18" customHeight="1">
      <c r="A34" s="234"/>
      <c r="B34" s="244" t="s">
        <v>1034</v>
      </c>
      <c r="C34" s="244">
        <v>93382</v>
      </c>
      <c r="D34" s="245" t="s">
        <v>791</v>
      </c>
      <c r="E34" s="275" t="s">
        <v>44</v>
      </c>
      <c r="F34" s="246">
        <v>229.93</v>
      </c>
      <c r="G34" s="246">
        <v>29.57</v>
      </c>
      <c r="H34" s="246">
        <f t="shared" si="5"/>
        <v>37.26</v>
      </c>
      <c r="I34" s="246">
        <f t="shared" si="0"/>
        <v>8567.19</v>
      </c>
      <c r="J34" s="247">
        <f t="shared" si="1"/>
        <v>1.2096308596857912E-2</v>
      </c>
      <c r="K34" s="248">
        <f t="shared" si="3"/>
        <v>508534.44000000006</v>
      </c>
      <c r="L34" s="247">
        <f t="shared" si="4"/>
        <v>0.71801716996708642</v>
      </c>
      <c r="M34" s="273" t="str">
        <f t="shared" si="2"/>
        <v>A</v>
      </c>
    </row>
    <row r="35" spans="1:13" s="129" customFormat="1" ht="18" customHeight="1">
      <c r="A35" s="23"/>
      <c r="B35" s="244" t="s">
        <v>941</v>
      </c>
      <c r="C35" s="244">
        <v>95781</v>
      </c>
      <c r="D35" s="245" t="s">
        <v>303</v>
      </c>
      <c r="E35" s="275" t="s">
        <v>251</v>
      </c>
      <c r="F35" s="246">
        <v>173</v>
      </c>
      <c r="G35" s="246">
        <v>38.99</v>
      </c>
      <c r="H35" s="246">
        <f t="shared" si="5"/>
        <v>49.13</v>
      </c>
      <c r="I35" s="246">
        <f t="shared" si="0"/>
        <v>8499.49</v>
      </c>
      <c r="J35" s="247">
        <f t="shared" si="1"/>
        <v>1.2000720651217942E-2</v>
      </c>
      <c r="K35" s="248">
        <f t="shared" si="3"/>
        <v>517033.93000000005</v>
      </c>
      <c r="L35" s="247">
        <f t="shared" si="4"/>
        <v>0.73001789061830435</v>
      </c>
      <c r="M35" s="273" t="str">
        <f t="shared" si="2"/>
        <v>A</v>
      </c>
    </row>
    <row r="36" spans="1:13" s="129" customFormat="1" ht="18" customHeight="1">
      <c r="B36" s="244" t="s">
        <v>219</v>
      </c>
      <c r="C36" s="244">
        <v>91927</v>
      </c>
      <c r="D36" s="245" t="s">
        <v>286</v>
      </c>
      <c r="E36" s="275" t="s">
        <v>43</v>
      </c>
      <c r="F36" s="246">
        <v>1256.54</v>
      </c>
      <c r="G36" s="246">
        <v>5.03</v>
      </c>
      <c r="H36" s="246">
        <f t="shared" si="5"/>
        <v>6.34</v>
      </c>
      <c r="I36" s="246">
        <f t="shared" si="0"/>
        <v>7966.46</v>
      </c>
      <c r="J36" s="247">
        <f t="shared" si="1"/>
        <v>1.1248117362230168E-2</v>
      </c>
      <c r="K36" s="248">
        <f t="shared" si="3"/>
        <v>525000.39</v>
      </c>
      <c r="L36" s="247">
        <f t="shared" si="4"/>
        <v>0.74126600798053455</v>
      </c>
      <c r="M36" s="273" t="str">
        <f t="shared" si="2"/>
        <v>A</v>
      </c>
    </row>
    <row r="37" spans="1:13" s="129" customFormat="1" ht="18" customHeight="1">
      <c r="A37" s="23"/>
      <c r="B37" s="244" t="s">
        <v>1115</v>
      </c>
      <c r="C37" s="244">
        <v>88488</v>
      </c>
      <c r="D37" s="245" t="s">
        <v>91</v>
      </c>
      <c r="E37" s="275" t="s">
        <v>42</v>
      </c>
      <c r="F37" s="246">
        <v>381.86</v>
      </c>
      <c r="G37" s="246">
        <v>16.29</v>
      </c>
      <c r="H37" s="246">
        <f t="shared" si="5"/>
        <v>20.53</v>
      </c>
      <c r="I37" s="246">
        <f t="shared" si="0"/>
        <v>7839.59</v>
      </c>
      <c r="J37" s="247">
        <f t="shared" si="1"/>
        <v>1.1068985269714027E-2</v>
      </c>
      <c r="K37" s="248">
        <f t="shared" si="3"/>
        <v>532839.98</v>
      </c>
      <c r="L37" s="247">
        <f t="shared" si="4"/>
        <v>0.75233499325024855</v>
      </c>
      <c r="M37" s="273" t="str">
        <f t="shared" si="2"/>
        <v>A</v>
      </c>
    </row>
    <row r="38" spans="1:13" s="129" customFormat="1" ht="18" customHeight="1">
      <c r="B38" s="244" t="s">
        <v>708</v>
      </c>
      <c r="C38" s="244">
        <v>102507</v>
      </c>
      <c r="D38" s="245" t="s">
        <v>683</v>
      </c>
      <c r="E38" s="275" t="s">
        <v>42</v>
      </c>
      <c r="F38" s="246">
        <v>835.99</v>
      </c>
      <c r="G38" s="246">
        <v>6.94</v>
      </c>
      <c r="H38" s="246">
        <f t="shared" si="5"/>
        <v>8.74</v>
      </c>
      <c r="I38" s="246">
        <f t="shared" si="0"/>
        <v>7306.55</v>
      </c>
      <c r="J38" s="247">
        <f t="shared" si="1"/>
        <v>1.0316367861384209E-2</v>
      </c>
      <c r="K38" s="248">
        <f t="shared" si="3"/>
        <v>540146.53</v>
      </c>
      <c r="L38" s="247">
        <f t="shared" si="4"/>
        <v>0.76265136111163279</v>
      </c>
      <c r="M38" s="273" t="str">
        <f t="shared" si="2"/>
        <v>A</v>
      </c>
    </row>
    <row r="39" spans="1:13" s="129" customFormat="1" ht="18" customHeight="1">
      <c r="A39" s="23"/>
      <c r="B39" s="244" t="s">
        <v>1103</v>
      </c>
      <c r="C39" s="244" t="s">
        <v>280</v>
      </c>
      <c r="D39" s="245" t="s">
        <v>279</v>
      </c>
      <c r="E39" s="275" t="s">
        <v>43</v>
      </c>
      <c r="F39" s="246">
        <v>305.99</v>
      </c>
      <c r="G39" s="246">
        <v>17.62</v>
      </c>
      <c r="H39" s="246">
        <f t="shared" si="5"/>
        <v>22.2</v>
      </c>
      <c r="I39" s="246">
        <f t="shared" si="0"/>
        <v>6792.98</v>
      </c>
      <c r="J39" s="247">
        <f t="shared" si="1"/>
        <v>9.591240812014656E-3</v>
      </c>
      <c r="K39" s="248">
        <f t="shared" si="3"/>
        <v>546939.51</v>
      </c>
      <c r="L39" s="247">
        <f t="shared" si="4"/>
        <v>0.77224260192364746</v>
      </c>
      <c r="M39" s="273" t="str">
        <f t="shared" si="2"/>
        <v>A</v>
      </c>
    </row>
    <row r="40" spans="1:13" s="129" customFormat="1" ht="18" customHeight="1">
      <c r="B40" s="244" t="s">
        <v>120</v>
      </c>
      <c r="C40" s="244">
        <v>10775</v>
      </c>
      <c r="D40" s="245" t="s">
        <v>192</v>
      </c>
      <c r="E40" s="275" t="s">
        <v>191</v>
      </c>
      <c r="F40" s="246">
        <v>6</v>
      </c>
      <c r="G40" s="246">
        <v>832.5</v>
      </c>
      <c r="H40" s="246">
        <f>ROUND(G40*(1+BDI),2)</f>
        <v>1048.95</v>
      </c>
      <c r="I40" s="246">
        <f t="shared" si="0"/>
        <v>6293.7</v>
      </c>
      <c r="J40" s="247">
        <f t="shared" si="1"/>
        <v>8.886290302426424E-3</v>
      </c>
      <c r="K40" s="248">
        <f t="shared" si="3"/>
        <v>553233.21</v>
      </c>
      <c r="L40" s="247">
        <f t="shared" si="4"/>
        <v>0.78112889222607385</v>
      </c>
      <c r="M40" s="273" t="str">
        <f t="shared" si="2"/>
        <v>A</v>
      </c>
    </row>
    <row r="41" spans="1:13" s="129" customFormat="1" ht="18" customHeight="1">
      <c r="B41" s="253" t="s">
        <v>639</v>
      </c>
      <c r="C41" s="253" t="s">
        <v>171</v>
      </c>
      <c r="D41" s="254" t="s">
        <v>356</v>
      </c>
      <c r="E41" s="276" t="s">
        <v>88</v>
      </c>
      <c r="F41" s="255">
        <v>270</v>
      </c>
      <c r="G41" s="255">
        <v>18.489999999999998</v>
      </c>
      <c r="H41" s="255">
        <f>ROUND(G41*(1+$G$6),2)</f>
        <v>23.3</v>
      </c>
      <c r="I41" s="255">
        <f t="shared" si="0"/>
        <v>6291</v>
      </c>
      <c r="J41" s="256">
        <f t="shared" si="1"/>
        <v>8.8824780800744602E-3</v>
      </c>
      <c r="K41" s="248">
        <f t="shared" si="3"/>
        <v>559524.21</v>
      </c>
      <c r="L41" s="247">
        <f t="shared" si="4"/>
        <v>0.79001137030614832</v>
      </c>
      <c r="M41" s="273" t="str">
        <f t="shared" si="2"/>
        <v>A</v>
      </c>
    </row>
    <row r="42" spans="1:13" s="129" customFormat="1" ht="18" customHeight="1">
      <c r="B42" s="253" t="s">
        <v>750</v>
      </c>
      <c r="C42" s="253" t="s">
        <v>692</v>
      </c>
      <c r="D42" s="254" t="s">
        <v>693</v>
      </c>
      <c r="E42" s="276" t="s">
        <v>43</v>
      </c>
      <c r="F42" s="255">
        <v>140</v>
      </c>
      <c r="G42" s="255">
        <v>35.32</v>
      </c>
      <c r="H42" s="255">
        <f>ROUND(G42*(1+$G$6),2)</f>
        <v>44.5</v>
      </c>
      <c r="I42" s="255">
        <f t="shared" si="0"/>
        <v>6230</v>
      </c>
      <c r="J42" s="256">
        <f t="shared" si="1"/>
        <v>8.7963500936041796E-3</v>
      </c>
      <c r="K42" s="248">
        <f t="shared" si="3"/>
        <v>565754.21</v>
      </c>
      <c r="L42" s="247">
        <f t="shared" si="4"/>
        <v>0.79880772039975245</v>
      </c>
      <c r="M42" s="273" t="str">
        <f t="shared" si="2"/>
        <v>A</v>
      </c>
    </row>
    <row r="43" spans="1:13" s="129" customFormat="1" ht="18" customHeight="1">
      <c r="A43" s="23"/>
      <c r="B43" s="253" t="s">
        <v>194</v>
      </c>
      <c r="C43" s="253" t="str">
        <f>COMPOSIÇÕES!C33</f>
        <v>COMP006</v>
      </c>
      <c r="D43" s="254" t="s">
        <v>571</v>
      </c>
      <c r="E43" s="276" t="s">
        <v>42</v>
      </c>
      <c r="F43" s="255">
        <v>2266.6672999999996</v>
      </c>
      <c r="G43" s="255">
        <v>2.17</v>
      </c>
      <c r="H43" s="255">
        <f>ROUND(G43*(1+BDI),2)</f>
        <v>2.73</v>
      </c>
      <c r="I43" s="255">
        <f t="shared" si="0"/>
        <v>6188</v>
      </c>
      <c r="J43" s="256">
        <f t="shared" si="1"/>
        <v>8.737048857018084E-3</v>
      </c>
      <c r="K43" s="248">
        <f t="shared" si="3"/>
        <v>571942.21</v>
      </c>
      <c r="L43" s="247">
        <f t="shared" si="4"/>
        <v>0.80754476925677054</v>
      </c>
      <c r="M43" s="273" t="str">
        <f t="shared" si="2"/>
        <v>B</v>
      </c>
    </row>
    <row r="44" spans="1:13" s="129" customFormat="1" ht="18" customHeight="1">
      <c r="B44" s="253" t="s">
        <v>212</v>
      </c>
      <c r="C44" s="253" t="s">
        <v>84</v>
      </c>
      <c r="D44" s="254" t="s">
        <v>340</v>
      </c>
      <c r="E44" s="276" t="s">
        <v>42</v>
      </c>
      <c r="F44" s="255">
        <v>1512.07</v>
      </c>
      <c r="G44" s="255">
        <v>2.9</v>
      </c>
      <c r="H44" s="255">
        <f t="shared" ref="H44:H50" si="6">ROUND(G44*(1+$G$6),2)</f>
        <v>3.65</v>
      </c>
      <c r="I44" s="255">
        <f t="shared" si="0"/>
        <v>5519.06</v>
      </c>
      <c r="J44" s="256">
        <f t="shared" si="1"/>
        <v>7.7925495903061132E-3</v>
      </c>
      <c r="K44" s="248">
        <f t="shared" si="3"/>
        <v>577461.27</v>
      </c>
      <c r="L44" s="247">
        <f t="shared" si="4"/>
        <v>0.81533731884707661</v>
      </c>
      <c r="M44" s="273" t="str">
        <f t="shared" si="2"/>
        <v>B</v>
      </c>
    </row>
    <row r="45" spans="1:13" s="129" customFormat="1" ht="18" customHeight="1">
      <c r="B45" s="253" t="s">
        <v>911</v>
      </c>
      <c r="C45" s="253" t="s">
        <v>416</v>
      </c>
      <c r="D45" s="254" t="s">
        <v>415</v>
      </c>
      <c r="E45" s="276" t="s">
        <v>42</v>
      </c>
      <c r="F45" s="255">
        <v>54.42</v>
      </c>
      <c r="G45" s="255">
        <v>79.760000000000005</v>
      </c>
      <c r="H45" s="255">
        <f t="shared" si="6"/>
        <v>100.5</v>
      </c>
      <c r="I45" s="255">
        <f t="shared" ref="I45:I76" si="7">ROUND(F45*H45,2)</f>
        <v>5469.21</v>
      </c>
      <c r="J45" s="256">
        <f t="shared" ref="J45:J76" si="8">I45/$I$190</f>
        <v>7.722164670215235E-3</v>
      </c>
      <c r="K45" s="248">
        <f t="shared" si="3"/>
        <v>582930.48</v>
      </c>
      <c r="L45" s="247">
        <f t="shared" si="4"/>
        <v>0.82305948351729186</v>
      </c>
      <c r="M45" s="273" t="str">
        <f t="shared" si="2"/>
        <v>B</v>
      </c>
    </row>
    <row r="46" spans="1:13" s="129" customFormat="1" ht="18" customHeight="1">
      <c r="A46" s="23"/>
      <c r="B46" s="253" t="s">
        <v>718</v>
      </c>
      <c r="C46" s="253">
        <v>99814</v>
      </c>
      <c r="D46" s="254" t="s">
        <v>678</v>
      </c>
      <c r="E46" s="276" t="s">
        <v>42</v>
      </c>
      <c r="F46" s="255">
        <v>1829.15</v>
      </c>
      <c r="G46" s="255">
        <v>2.35</v>
      </c>
      <c r="H46" s="255">
        <f t="shared" si="6"/>
        <v>2.96</v>
      </c>
      <c r="I46" s="255">
        <f t="shared" si="7"/>
        <v>5414.28</v>
      </c>
      <c r="J46" s="256">
        <f t="shared" si="8"/>
        <v>7.6446071243658478E-3</v>
      </c>
      <c r="K46" s="248">
        <f t="shared" si="3"/>
        <v>588344.76</v>
      </c>
      <c r="L46" s="247">
        <f t="shared" si="4"/>
        <v>0.83070409064165773</v>
      </c>
      <c r="M46" s="273" t="str">
        <f t="shared" si="2"/>
        <v>B</v>
      </c>
    </row>
    <row r="47" spans="1:13" s="129" customFormat="1" ht="18" customHeight="1">
      <c r="A47" s="234"/>
      <c r="B47" s="253" t="s">
        <v>204</v>
      </c>
      <c r="C47" s="253" t="s">
        <v>169</v>
      </c>
      <c r="D47" s="254" t="s">
        <v>177</v>
      </c>
      <c r="E47" s="276" t="s">
        <v>44</v>
      </c>
      <c r="F47" s="255">
        <v>8.3699999999999992</v>
      </c>
      <c r="G47" s="255">
        <v>450.63</v>
      </c>
      <c r="H47" s="255">
        <f t="shared" si="6"/>
        <v>567.79</v>
      </c>
      <c r="I47" s="255">
        <f t="shared" si="7"/>
        <v>4752.3999999999996</v>
      </c>
      <c r="J47" s="256">
        <f t="shared" si="8"/>
        <v>6.7100761131371582E-3</v>
      </c>
      <c r="K47" s="248">
        <f t="shared" si="3"/>
        <v>593097.16</v>
      </c>
      <c r="L47" s="247">
        <f t="shared" si="4"/>
        <v>0.83741416675479485</v>
      </c>
      <c r="M47" s="273" t="str">
        <f t="shared" si="2"/>
        <v>B</v>
      </c>
    </row>
    <row r="48" spans="1:13" s="129" customFormat="1" ht="18" customHeight="1">
      <c r="B48" s="253" t="s">
        <v>986</v>
      </c>
      <c r="C48" s="253">
        <v>87529</v>
      </c>
      <c r="D48" s="254" t="s">
        <v>417</v>
      </c>
      <c r="E48" s="276" t="s">
        <v>42</v>
      </c>
      <c r="F48" s="255">
        <v>87.13</v>
      </c>
      <c r="G48" s="255">
        <v>35.729999999999997</v>
      </c>
      <c r="H48" s="255">
        <f t="shared" si="6"/>
        <v>45.02</v>
      </c>
      <c r="I48" s="255">
        <f t="shared" si="7"/>
        <v>3922.59</v>
      </c>
      <c r="J48" s="256">
        <f t="shared" si="8"/>
        <v>5.5384389909583975E-3</v>
      </c>
      <c r="K48" s="248">
        <f t="shared" si="3"/>
        <v>597019.75</v>
      </c>
      <c r="L48" s="247">
        <f t="shared" si="4"/>
        <v>0.84295260574575326</v>
      </c>
      <c r="M48" s="273" t="str">
        <f t="shared" si="2"/>
        <v>B</v>
      </c>
    </row>
    <row r="49" spans="1:13" s="129" customFormat="1" ht="18" customHeight="1">
      <c r="A49" s="22"/>
      <c r="B49" s="253" t="s">
        <v>218</v>
      </c>
      <c r="C49" s="253">
        <v>91925</v>
      </c>
      <c r="D49" s="254" t="s">
        <v>285</v>
      </c>
      <c r="E49" s="276" t="s">
        <v>43</v>
      </c>
      <c r="F49" s="255">
        <v>816.52</v>
      </c>
      <c r="G49" s="255">
        <v>3.76</v>
      </c>
      <c r="H49" s="255">
        <f t="shared" si="6"/>
        <v>4.74</v>
      </c>
      <c r="I49" s="255">
        <f t="shared" si="7"/>
        <v>3870.3</v>
      </c>
      <c r="J49" s="256">
        <f t="shared" si="8"/>
        <v>5.4646089514087089E-3</v>
      </c>
      <c r="K49" s="248">
        <f t="shared" si="3"/>
        <v>600890.05000000005</v>
      </c>
      <c r="L49" s="247">
        <f t="shared" si="4"/>
        <v>0.84841721469716191</v>
      </c>
      <c r="M49" s="273" t="str">
        <f t="shared" si="2"/>
        <v>B</v>
      </c>
    </row>
    <row r="50" spans="1:13" s="129" customFormat="1" ht="18" customHeight="1">
      <c r="A50" s="22"/>
      <c r="B50" s="253" t="s">
        <v>949</v>
      </c>
      <c r="C50" s="253">
        <v>92004</v>
      </c>
      <c r="D50" s="254" t="s">
        <v>101</v>
      </c>
      <c r="E50" s="276" t="s">
        <v>251</v>
      </c>
      <c r="F50" s="255">
        <v>43</v>
      </c>
      <c r="G50" s="255">
        <v>64.06</v>
      </c>
      <c r="H50" s="255">
        <f t="shared" si="6"/>
        <v>80.72</v>
      </c>
      <c r="I50" s="255">
        <f t="shared" si="7"/>
        <v>3470.96</v>
      </c>
      <c r="J50" s="256">
        <f t="shared" si="8"/>
        <v>4.9007671462112943E-3</v>
      </c>
      <c r="K50" s="248">
        <f t="shared" si="3"/>
        <v>604361.01</v>
      </c>
      <c r="L50" s="247">
        <f t="shared" si="4"/>
        <v>0.85331798184337326</v>
      </c>
      <c r="M50" s="273" t="str">
        <f t="shared" si="2"/>
        <v>B</v>
      </c>
    </row>
    <row r="51" spans="1:13" s="129" customFormat="1" ht="18" customHeight="1">
      <c r="B51" s="253" t="s">
        <v>178</v>
      </c>
      <c r="C51" s="253" t="s">
        <v>565</v>
      </c>
      <c r="D51" s="254" t="s">
        <v>566</v>
      </c>
      <c r="E51" s="276" t="s">
        <v>44</v>
      </c>
      <c r="F51" s="255">
        <v>23.823074999999999</v>
      </c>
      <c r="G51" s="255">
        <v>107</v>
      </c>
      <c r="H51" s="255">
        <f>ROUND(G51*(1+BDI),2)</f>
        <v>134.82</v>
      </c>
      <c r="I51" s="255">
        <f t="shared" si="7"/>
        <v>3211.83</v>
      </c>
      <c r="J51" s="256">
        <f t="shared" si="8"/>
        <v>4.5348926358171286E-3</v>
      </c>
      <c r="K51" s="248">
        <f t="shared" si="3"/>
        <v>607572.84</v>
      </c>
      <c r="L51" s="247">
        <f t="shared" si="4"/>
        <v>0.85785287447919034</v>
      </c>
      <c r="M51" s="273" t="str">
        <f t="shared" si="2"/>
        <v>B</v>
      </c>
    </row>
    <row r="52" spans="1:13" s="129" customFormat="1" ht="18" customHeight="1">
      <c r="A52" s="235"/>
      <c r="B52" s="253" t="s">
        <v>527</v>
      </c>
      <c r="C52" s="253">
        <v>98299</v>
      </c>
      <c r="D52" s="254" t="s">
        <v>552</v>
      </c>
      <c r="E52" s="276" t="s">
        <v>43</v>
      </c>
      <c r="F52" s="255">
        <v>100</v>
      </c>
      <c r="G52" s="255">
        <v>22.99</v>
      </c>
      <c r="H52" s="255">
        <f t="shared" ref="H52:H64" si="9">ROUND(G52*(1+$G$6),2)</f>
        <v>28.97</v>
      </c>
      <c r="I52" s="255">
        <f t="shared" si="7"/>
        <v>2897</v>
      </c>
      <c r="J52" s="256">
        <f t="shared" si="8"/>
        <v>4.090373390236165E-3</v>
      </c>
      <c r="K52" s="248">
        <f t="shared" si="3"/>
        <v>610469.84</v>
      </c>
      <c r="L52" s="247">
        <f t="shared" si="4"/>
        <v>0.86194324786942655</v>
      </c>
      <c r="M52" s="273" t="str">
        <f t="shared" si="2"/>
        <v>B</v>
      </c>
    </row>
    <row r="53" spans="1:13" s="129" customFormat="1" ht="18" customHeight="1">
      <c r="B53" s="253" t="s">
        <v>370</v>
      </c>
      <c r="C53" s="253" t="s">
        <v>335</v>
      </c>
      <c r="D53" s="254" t="s">
        <v>336</v>
      </c>
      <c r="E53" s="276" t="s">
        <v>251</v>
      </c>
      <c r="F53" s="255">
        <v>18</v>
      </c>
      <c r="G53" s="255">
        <v>127.61</v>
      </c>
      <c r="H53" s="255">
        <f t="shared" si="9"/>
        <v>160.79</v>
      </c>
      <c r="I53" s="255">
        <f t="shared" si="7"/>
        <v>2894.22</v>
      </c>
      <c r="J53" s="256">
        <f t="shared" si="8"/>
        <v>4.0864482131478469E-3</v>
      </c>
      <c r="K53" s="248">
        <f t="shared" si="3"/>
        <v>613364.05999999994</v>
      </c>
      <c r="L53" s="247">
        <f t="shared" si="4"/>
        <v>0.86602969608257441</v>
      </c>
      <c r="M53" s="273" t="str">
        <f t="shared" si="2"/>
        <v>B</v>
      </c>
    </row>
    <row r="54" spans="1:13" s="129" customFormat="1" ht="18" customHeight="1">
      <c r="A54" s="23"/>
      <c r="B54" s="253" t="s">
        <v>990</v>
      </c>
      <c r="C54" s="253" t="s">
        <v>359</v>
      </c>
      <c r="D54" s="254" t="s">
        <v>358</v>
      </c>
      <c r="E54" s="276" t="s">
        <v>43</v>
      </c>
      <c r="F54" s="255">
        <v>117.92</v>
      </c>
      <c r="G54" s="255">
        <v>18.260000000000002</v>
      </c>
      <c r="H54" s="255">
        <f t="shared" si="9"/>
        <v>23.01</v>
      </c>
      <c r="I54" s="255">
        <f t="shared" si="7"/>
        <v>2713.34</v>
      </c>
      <c r="J54" s="256">
        <f t="shared" si="8"/>
        <v>3.8310575542503957E-3</v>
      </c>
      <c r="K54" s="248">
        <f t="shared" si="3"/>
        <v>616077.39999999991</v>
      </c>
      <c r="L54" s="247">
        <f t="shared" si="4"/>
        <v>0.8698607536368248</v>
      </c>
      <c r="M54" s="273" t="str">
        <f t="shared" si="2"/>
        <v>B</v>
      </c>
    </row>
    <row r="55" spans="1:13" s="129" customFormat="1" ht="18" customHeight="1">
      <c r="B55" s="253" t="s">
        <v>988</v>
      </c>
      <c r="C55" s="253" t="s">
        <v>437</v>
      </c>
      <c r="D55" s="254" t="s">
        <v>872</v>
      </c>
      <c r="E55" s="276" t="s">
        <v>43</v>
      </c>
      <c r="F55" s="255">
        <v>13.67</v>
      </c>
      <c r="G55" s="255">
        <v>155.62</v>
      </c>
      <c r="H55" s="255">
        <f t="shared" si="9"/>
        <v>196.08</v>
      </c>
      <c r="I55" s="255">
        <f t="shared" si="7"/>
        <v>2680.41</v>
      </c>
      <c r="J55" s="256">
        <f t="shared" si="8"/>
        <v>3.7845625608984874E-3</v>
      </c>
      <c r="K55" s="248">
        <f t="shared" si="3"/>
        <v>618757.80999999994</v>
      </c>
      <c r="L55" s="247">
        <f t="shared" si="4"/>
        <v>0.87364531619772334</v>
      </c>
      <c r="M55" s="273" t="str">
        <f t="shared" si="2"/>
        <v>B</v>
      </c>
    </row>
    <row r="56" spans="1:13" s="129" customFormat="1" ht="18" customHeight="1">
      <c r="A56" s="22"/>
      <c r="B56" s="253" t="s">
        <v>1065</v>
      </c>
      <c r="C56" s="253" t="s">
        <v>665</v>
      </c>
      <c r="D56" s="254" t="s">
        <v>664</v>
      </c>
      <c r="E56" s="276" t="s">
        <v>42</v>
      </c>
      <c r="F56" s="255">
        <v>25.61</v>
      </c>
      <c r="G56" s="255">
        <v>82.26</v>
      </c>
      <c r="H56" s="255">
        <f t="shared" si="9"/>
        <v>103.65</v>
      </c>
      <c r="I56" s="255">
        <f t="shared" si="7"/>
        <v>2654.48</v>
      </c>
      <c r="J56" s="256">
        <f t="shared" si="8"/>
        <v>3.7479511069775959E-3</v>
      </c>
      <c r="K56" s="248">
        <f t="shared" si="3"/>
        <v>621412.28999999992</v>
      </c>
      <c r="L56" s="247">
        <f t="shared" si="4"/>
        <v>0.87739326730470091</v>
      </c>
      <c r="M56" s="273" t="str">
        <f t="shared" si="2"/>
        <v>B</v>
      </c>
    </row>
    <row r="57" spans="1:13" s="129" customFormat="1" ht="18" customHeight="1">
      <c r="B57" s="253" t="s">
        <v>261</v>
      </c>
      <c r="C57" s="253">
        <v>89402</v>
      </c>
      <c r="D57" s="254" t="s">
        <v>862</v>
      </c>
      <c r="E57" s="276" t="s">
        <v>43</v>
      </c>
      <c r="F57" s="255">
        <v>143</v>
      </c>
      <c r="G57" s="255">
        <v>13.32</v>
      </c>
      <c r="H57" s="255">
        <f t="shared" si="9"/>
        <v>16.78</v>
      </c>
      <c r="I57" s="255">
        <f t="shared" si="7"/>
        <v>2399.54</v>
      </c>
      <c r="J57" s="256">
        <f t="shared" si="8"/>
        <v>3.3879926008999954E-3</v>
      </c>
      <c r="K57" s="248">
        <f t="shared" si="3"/>
        <v>623811.82999999996</v>
      </c>
      <c r="L57" s="247">
        <f t="shared" si="4"/>
        <v>0.88078125990560086</v>
      </c>
      <c r="M57" s="273" t="str">
        <f t="shared" si="2"/>
        <v>B</v>
      </c>
    </row>
    <row r="58" spans="1:13" s="129" customFormat="1" ht="18" customHeight="1">
      <c r="B58" s="253" t="s">
        <v>263</v>
      </c>
      <c r="C58" s="253" t="s">
        <v>269</v>
      </c>
      <c r="D58" s="254" t="s">
        <v>268</v>
      </c>
      <c r="E58" s="276" t="s">
        <v>251</v>
      </c>
      <c r="F58" s="255">
        <v>4</v>
      </c>
      <c r="G58" s="255">
        <v>445.77</v>
      </c>
      <c r="H58" s="255">
        <f t="shared" si="9"/>
        <v>561.66999999999996</v>
      </c>
      <c r="I58" s="255">
        <f t="shared" si="7"/>
        <v>2246.6799999999998</v>
      </c>
      <c r="J58" s="256">
        <f t="shared" si="8"/>
        <v>3.1721643384106961E-3</v>
      </c>
      <c r="K58" s="248">
        <f t="shared" si="3"/>
        <v>626058.51</v>
      </c>
      <c r="L58" s="247">
        <f t="shared" si="4"/>
        <v>0.88395342424401158</v>
      </c>
      <c r="M58" s="273" t="str">
        <f t="shared" si="2"/>
        <v>B</v>
      </c>
    </row>
    <row r="59" spans="1:13" s="129" customFormat="1" ht="18" customHeight="1">
      <c r="B59" s="253"/>
      <c r="C59" s="253" t="s">
        <v>559</v>
      </c>
      <c r="D59" s="254" t="s">
        <v>560</v>
      </c>
      <c r="E59" s="276" t="s">
        <v>42</v>
      </c>
      <c r="F59" s="255">
        <v>3.7800000000000002</v>
      </c>
      <c r="G59" s="255">
        <v>470.04</v>
      </c>
      <c r="H59" s="255">
        <f t="shared" si="9"/>
        <v>592.25</v>
      </c>
      <c r="I59" s="255">
        <f t="shared" si="7"/>
        <v>2238.71</v>
      </c>
      <c r="J59" s="256">
        <f t="shared" si="8"/>
        <v>3.1609112228013821E-3</v>
      </c>
      <c r="K59" s="248">
        <f t="shared" si="3"/>
        <v>628297.22</v>
      </c>
      <c r="L59" s="247">
        <f t="shared" si="4"/>
        <v>0.88711433546681295</v>
      </c>
      <c r="M59" s="273" t="str">
        <f t="shared" si="2"/>
        <v>B</v>
      </c>
    </row>
    <row r="60" spans="1:13" s="129" customFormat="1" ht="18" customHeight="1">
      <c r="B60" s="253" t="s">
        <v>578</v>
      </c>
      <c r="C60" s="253" t="s">
        <v>126</v>
      </c>
      <c r="D60" s="254" t="s">
        <v>488</v>
      </c>
      <c r="E60" s="276" t="s">
        <v>149</v>
      </c>
      <c r="F60" s="255">
        <v>2.0299999999999998</v>
      </c>
      <c r="G60" s="255">
        <v>860.4</v>
      </c>
      <c r="H60" s="255">
        <f t="shared" si="9"/>
        <v>1084.0999999999999</v>
      </c>
      <c r="I60" s="255">
        <f t="shared" si="7"/>
        <v>2200.7199999999998</v>
      </c>
      <c r="J60" s="256">
        <f t="shared" si="8"/>
        <v>3.1072718423750543E-3</v>
      </c>
      <c r="K60" s="248">
        <f t="shared" si="3"/>
        <v>630497.93999999994</v>
      </c>
      <c r="L60" s="247">
        <f t="shared" si="4"/>
        <v>0.89022160730918798</v>
      </c>
      <c r="M60" s="273" t="str">
        <f t="shared" si="2"/>
        <v>B</v>
      </c>
    </row>
    <row r="61" spans="1:13" s="129" customFormat="1" ht="18" customHeight="1">
      <c r="B61" s="253" t="s">
        <v>591</v>
      </c>
      <c r="C61" s="253" t="s">
        <v>459</v>
      </c>
      <c r="D61" s="254" t="s">
        <v>460</v>
      </c>
      <c r="E61" s="276" t="s">
        <v>43</v>
      </c>
      <c r="F61" s="255">
        <v>40.200000000000003</v>
      </c>
      <c r="G61" s="255">
        <v>41.48</v>
      </c>
      <c r="H61" s="255">
        <f t="shared" si="9"/>
        <v>52.26</v>
      </c>
      <c r="I61" s="255">
        <f t="shared" si="7"/>
        <v>2100.85</v>
      </c>
      <c r="J61" s="256">
        <f t="shared" si="8"/>
        <v>2.9662619733785457E-3</v>
      </c>
      <c r="K61" s="248">
        <f t="shared" si="3"/>
        <v>632598.78999999992</v>
      </c>
      <c r="L61" s="247">
        <f t="shared" si="4"/>
        <v>0.89318786928256655</v>
      </c>
      <c r="M61" s="273" t="str">
        <f t="shared" si="2"/>
        <v>B</v>
      </c>
    </row>
    <row r="62" spans="1:13" s="129" customFormat="1" ht="18" customHeight="1">
      <c r="B62" s="253" t="s">
        <v>0</v>
      </c>
      <c r="C62" s="253">
        <v>104790</v>
      </c>
      <c r="D62" s="254" t="s">
        <v>239</v>
      </c>
      <c r="E62" s="276" t="s">
        <v>44</v>
      </c>
      <c r="F62" s="255">
        <v>14.26</v>
      </c>
      <c r="G62" s="255">
        <v>116.73</v>
      </c>
      <c r="H62" s="255">
        <f t="shared" si="9"/>
        <v>147.08000000000001</v>
      </c>
      <c r="I62" s="255">
        <f t="shared" si="7"/>
        <v>2097.36</v>
      </c>
      <c r="J62" s="256">
        <f t="shared" si="8"/>
        <v>2.9613343230050822E-3</v>
      </c>
      <c r="K62" s="248">
        <f t="shared" si="3"/>
        <v>634696.14999999991</v>
      </c>
      <c r="L62" s="247">
        <f t="shared" si="4"/>
        <v>0.8961492036055716</v>
      </c>
      <c r="M62" s="273" t="str">
        <f t="shared" si="2"/>
        <v>B</v>
      </c>
    </row>
    <row r="63" spans="1:13" s="129" customFormat="1" ht="18" customHeight="1">
      <c r="B63" s="253" t="s">
        <v>633</v>
      </c>
      <c r="C63" s="253" t="s">
        <v>410</v>
      </c>
      <c r="D63" s="254" t="s">
        <v>409</v>
      </c>
      <c r="E63" s="276" t="s">
        <v>251</v>
      </c>
      <c r="F63" s="255">
        <v>2</v>
      </c>
      <c r="G63" s="255">
        <v>772.51</v>
      </c>
      <c r="H63" s="255">
        <f t="shared" si="9"/>
        <v>973.36</v>
      </c>
      <c r="I63" s="255">
        <f t="shared" si="7"/>
        <v>1946.72</v>
      </c>
      <c r="J63" s="256">
        <f t="shared" si="8"/>
        <v>2.7486405544496191E-3</v>
      </c>
      <c r="K63" s="248">
        <f t="shared" si="3"/>
        <v>636642.86999999988</v>
      </c>
      <c r="L63" s="247">
        <f t="shared" si="4"/>
        <v>0.89889784416002116</v>
      </c>
      <c r="M63" s="273" t="str">
        <f t="shared" si="2"/>
        <v>B</v>
      </c>
    </row>
    <row r="64" spans="1:13" s="129" customFormat="1" ht="18" customHeight="1">
      <c r="A64" s="23"/>
      <c r="B64" s="253" t="s">
        <v>342</v>
      </c>
      <c r="C64" s="253" t="s">
        <v>118</v>
      </c>
      <c r="D64" s="254" t="s">
        <v>339</v>
      </c>
      <c r="E64" s="276" t="s">
        <v>42</v>
      </c>
      <c r="F64" s="255">
        <v>247.5</v>
      </c>
      <c r="G64" s="255">
        <v>5.74</v>
      </c>
      <c r="H64" s="255">
        <f t="shared" si="9"/>
        <v>7.23</v>
      </c>
      <c r="I64" s="255">
        <f t="shared" si="7"/>
        <v>1789.43</v>
      </c>
      <c r="J64" s="256">
        <f t="shared" si="8"/>
        <v>2.5265574234346914E-3</v>
      </c>
      <c r="K64" s="248">
        <f t="shared" si="3"/>
        <v>638432.29999999993</v>
      </c>
      <c r="L64" s="247">
        <f t="shared" si="4"/>
        <v>0.90142440158345583</v>
      </c>
      <c r="M64" s="273" t="str">
        <f t="shared" si="2"/>
        <v>B</v>
      </c>
    </row>
    <row r="65" spans="1:23" s="129" customFormat="1" ht="18" customHeight="1">
      <c r="B65" s="253" t="s">
        <v>0</v>
      </c>
      <c r="C65" s="253">
        <v>103689</v>
      </c>
      <c r="D65" s="254" t="s">
        <v>86</v>
      </c>
      <c r="E65" s="276" t="s">
        <v>42</v>
      </c>
      <c r="F65" s="255">
        <v>4.5</v>
      </c>
      <c r="G65" s="255">
        <v>315.35000000000002</v>
      </c>
      <c r="H65" s="255">
        <f>ROUND(G65*(1+BDI),2)</f>
        <v>397.34</v>
      </c>
      <c r="I65" s="255">
        <f t="shared" si="7"/>
        <v>1788.03</v>
      </c>
      <c r="J65" s="256">
        <f t="shared" si="8"/>
        <v>2.5245807155484879E-3</v>
      </c>
      <c r="K65" s="248">
        <f t="shared" si="3"/>
        <v>640220.32999999996</v>
      </c>
      <c r="L65" s="247">
        <f t="shared" si="4"/>
        <v>0.90394898229900433</v>
      </c>
      <c r="M65" s="273" t="str">
        <f t="shared" si="2"/>
        <v>B</v>
      </c>
    </row>
    <row r="66" spans="1:23" s="129" customFormat="1" ht="18" customHeight="1">
      <c r="A66" s="23"/>
      <c r="B66" s="253" t="s">
        <v>716</v>
      </c>
      <c r="C66" s="253" t="s">
        <v>686</v>
      </c>
      <c r="D66" s="254" t="s">
        <v>687</v>
      </c>
      <c r="E66" s="276" t="s">
        <v>42</v>
      </c>
      <c r="F66" s="255">
        <v>2.5</v>
      </c>
      <c r="G66" s="255">
        <v>565.04</v>
      </c>
      <c r="H66" s="255">
        <f t="shared" ref="H66:H97" si="10">ROUND(G66*(1+$G$6),2)</f>
        <v>711.95</v>
      </c>
      <c r="I66" s="255">
        <f t="shared" si="7"/>
        <v>1779.88</v>
      </c>
      <c r="J66" s="256">
        <f t="shared" si="8"/>
        <v>2.5130734517823769E-3</v>
      </c>
      <c r="K66" s="248">
        <f t="shared" si="3"/>
        <v>642000.21</v>
      </c>
      <c r="L66" s="247">
        <f t="shared" si="4"/>
        <v>0.90646205575078675</v>
      </c>
      <c r="M66" s="273" t="str">
        <f t="shared" si="2"/>
        <v>B</v>
      </c>
    </row>
    <row r="67" spans="1:23" s="129" customFormat="1" ht="18" customHeight="1">
      <c r="A67" s="22"/>
      <c r="B67" s="253" t="s">
        <v>344</v>
      </c>
      <c r="C67" s="253">
        <v>88484</v>
      </c>
      <c r="D67" s="254" t="s">
        <v>338</v>
      </c>
      <c r="E67" s="276" t="s">
        <v>42</v>
      </c>
      <c r="F67" s="255">
        <v>247.5</v>
      </c>
      <c r="G67" s="255">
        <v>5.68</v>
      </c>
      <c r="H67" s="255">
        <f t="shared" si="10"/>
        <v>7.16</v>
      </c>
      <c r="I67" s="255">
        <f t="shared" si="7"/>
        <v>1772.1</v>
      </c>
      <c r="J67" s="256">
        <f t="shared" si="8"/>
        <v>2.5020886036719045E-3</v>
      </c>
      <c r="K67" s="248">
        <f t="shared" si="3"/>
        <v>643772.30999999994</v>
      </c>
      <c r="L67" s="247">
        <f t="shared" si="4"/>
        <v>0.90896414435445871</v>
      </c>
      <c r="M67" s="273" t="str">
        <f t="shared" si="2"/>
        <v>B</v>
      </c>
    </row>
    <row r="68" spans="1:23" s="129" customFormat="1" ht="18" customHeight="1">
      <c r="A68" s="23"/>
      <c r="B68" s="253" t="s">
        <v>1024</v>
      </c>
      <c r="C68" s="253">
        <v>101175</v>
      </c>
      <c r="D68" s="254" t="s">
        <v>855</v>
      </c>
      <c r="E68" s="276" t="s">
        <v>43</v>
      </c>
      <c r="F68" s="255">
        <v>12</v>
      </c>
      <c r="G68" s="255">
        <v>117.09</v>
      </c>
      <c r="H68" s="255">
        <f t="shared" si="10"/>
        <v>147.53</v>
      </c>
      <c r="I68" s="255">
        <f t="shared" si="7"/>
        <v>1770.36</v>
      </c>
      <c r="J68" s="256">
        <f t="shared" si="8"/>
        <v>2.4996318381561946E-3</v>
      </c>
      <c r="K68" s="248">
        <f t="shared" si="3"/>
        <v>645542.66999999993</v>
      </c>
      <c r="L68" s="247">
        <f t="shared" si="4"/>
        <v>0.91146377619261487</v>
      </c>
      <c r="M68" s="273" t="str">
        <f t="shared" si="2"/>
        <v>B</v>
      </c>
    </row>
    <row r="69" spans="1:23" s="129" customFormat="1" ht="18" customHeight="1">
      <c r="B69" s="253" t="s">
        <v>989</v>
      </c>
      <c r="C69" s="253">
        <v>87261</v>
      </c>
      <c r="D69" s="254" t="s">
        <v>873</v>
      </c>
      <c r="E69" s="276" t="s">
        <v>42</v>
      </c>
      <c r="F69" s="255">
        <v>7.16</v>
      </c>
      <c r="G69" s="255">
        <v>194.43</v>
      </c>
      <c r="H69" s="255">
        <f t="shared" si="10"/>
        <v>244.98</v>
      </c>
      <c r="I69" s="255">
        <f t="shared" si="7"/>
        <v>1754.06</v>
      </c>
      <c r="J69" s="256">
        <f t="shared" si="8"/>
        <v>2.4766173106239718E-3</v>
      </c>
      <c r="K69" s="248">
        <f t="shared" si="3"/>
        <v>647296.73</v>
      </c>
      <c r="L69" s="247">
        <f t="shared" si="4"/>
        <v>0.91394039350323886</v>
      </c>
      <c r="M69" s="273" t="str">
        <f t="shared" si="2"/>
        <v>B</v>
      </c>
    </row>
    <row r="70" spans="1:23" s="129" customFormat="1" ht="18" customHeight="1">
      <c r="A70" s="234"/>
      <c r="B70" s="253" t="s">
        <v>526</v>
      </c>
      <c r="C70" s="253">
        <v>100553</v>
      </c>
      <c r="D70" s="254" t="s">
        <v>551</v>
      </c>
      <c r="E70" s="276" t="s">
        <v>43</v>
      </c>
      <c r="F70" s="255">
        <v>50</v>
      </c>
      <c r="G70" s="255">
        <v>27.06</v>
      </c>
      <c r="H70" s="255">
        <f t="shared" si="10"/>
        <v>34.1</v>
      </c>
      <c r="I70" s="255">
        <f t="shared" si="7"/>
        <v>1705</v>
      </c>
      <c r="J70" s="256">
        <f t="shared" si="8"/>
        <v>2.4073478185545946E-3</v>
      </c>
      <c r="K70" s="248">
        <f t="shared" si="3"/>
        <v>649001.73</v>
      </c>
      <c r="L70" s="247">
        <f t="shared" si="4"/>
        <v>0.91634774132179342</v>
      </c>
      <c r="M70" s="273" t="str">
        <f t="shared" si="2"/>
        <v>B</v>
      </c>
    </row>
    <row r="71" spans="1:23" s="129" customFormat="1" ht="18" customHeight="1">
      <c r="B71" s="253" t="s">
        <v>1054</v>
      </c>
      <c r="C71" s="253">
        <v>21141</v>
      </c>
      <c r="D71" s="254" t="s">
        <v>172</v>
      </c>
      <c r="E71" s="276" t="s">
        <v>42</v>
      </c>
      <c r="F71" s="255">
        <v>114.9</v>
      </c>
      <c r="G71" s="255">
        <v>10.95</v>
      </c>
      <c r="H71" s="255">
        <f t="shared" si="10"/>
        <v>13.8</v>
      </c>
      <c r="I71" s="255">
        <f t="shared" si="7"/>
        <v>1585.62</v>
      </c>
      <c r="J71" s="256">
        <f t="shared" si="8"/>
        <v>2.23879111322964E-3</v>
      </c>
      <c r="K71" s="248">
        <f t="shared" si="3"/>
        <v>650587.35</v>
      </c>
      <c r="L71" s="247">
        <f t="shared" si="4"/>
        <v>0.91858653243502308</v>
      </c>
      <c r="M71" s="273" t="str">
        <f t="shared" si="2"/>
        <v>B</v>
      </c>
    </row>
    <row r="72" spans="1:23" s="129" customFormat="1" ht="18" customHeight="1">
      <c r="B72" s="253" t="s">
        <v>521</v>
      </c>
      <c r="C72" s="253">
        <v>91940</v>
      </c>
      <c r="D72" s="254" t="s">
        <v>541</v>
      </c>
      <c r="E72" s="276" t="s">
        <v>251</v>
      </c>
      <c r="F72" s="255">
        <v>56</v>
      </c>
      <c r="G72" s="255">
        <v>21.72</v>
      </c>
      <c r="H72" s="255">
        <f t="shared" si="10"/>
        <v>27.37</v>
      </c>
      <c r="I72" s="255">
        <f t="shared" si="7"/>
        <v>1532.72</v>
      </c>
      <c r="J72" s="256">
        <f t="shared" si="8"/>
        <v>2.1640997938152484E-3</v>
      </c>
      <c r="K72" s="248">
        <f t="shared" si="3"/>
        <v>652120.06999999995</v>
      </c>
      <c r="L72" s="247">
        <f t="shared" si="4"/>
        <v>0.92075063222883835</v>
      </c>
      <c r="M72" s="273" t="str">
        <f t="shared" si="2"/>
        <v>B</v>
      </c>
    </row>
    <row r="73" spans="1:23" s="129" customFormat="1" ht="18" customHeight="1">
      <c r="B73" s="253" t="s">
        <v>1104</v>
      </c>
      <c r="C73" s="253">
        <v>97607</v>
      </c>
      <c r="D73" s="254" t="s">
        <v>777</v>
      </c>
      <c r="E73" s="276" t="s">
        <v>251</v>
      </c>
      <c r="F73" s="255">
        <v>10</v>
      </c>
      <c r="G73" s="255">
        <v>115.53</v>
      </c>
      <c r="H73" s="255">
        <f t="shared" si="10"/>
        <v>145.57</v>
      </c>
      <c r="I73" s="255">
        <f t="shared" si="7"/>
        <v>1455.7</v>
      </c>
      <c r="J73" s="256">
        <f t="shared" si="8"/>
        <v>2.0553526213899845E-3</v>
      </c>
      <c r="K73" s="248">
        <f t="shared" si="3"/>
        <v>653575.7699999999</v>
      </c>
      <c r="L73" s="247">
        <f t="shared" si="4"/>
        <v>0.92280598485022836</v>
      </c>
      <c r="M73" s="273" t="str">
        <f t="shared" ref="M73:M136" si="11">IF(L73&lt;80%,"A",IF(L73&lt;95%,"B","C"))</f>
        <v>B</v>
      </c>
    </row>
    <row r="74" spans="1:23" s="129" customFormat="1" ht="18" customHeight="1">
      <c r="B74" s="253" t="s">
        <v>881</v>
      </c>
      <c r="C74" s="253" t="s">
        <v>265</v>
      </c>
      <c r="D74" s="254" t="s">
        <v>266</v>
      </c>
      <c r="E74" s="276" t="s">
        <v>267</v>
      </c>
      <c r="F74" s="255">
        <v>0.48</v>
      </c>
      <c r="G74" s="255">
        <v>2340.35</v>
      </c>
      <c r="H74" s="255">
        <f t="shared" si="10"/>
        <v>2948.84</v>
      </c>
      <c r="I74" s="255">
        <f t="shared" si="7"/>
        <v>1415.44</v>
      </c>
      <c r="J74" s="256">
        <f t="shared" si="8"/>
        <v>1.9985081503195988E-3</v>
      </c>
      <c r="K74" s="248">
        <f t="shared" si="3"/>
        <v>654991.20999999985</v>
      </c>
      <c r="L74" s="247">
        <f t="shared" si="4"/>
        <v>0.9248044930005479</v>
      </c>
      <c r="M74" s="273" t="str">
        <f t="shared" si="11"/>
        <v>B</v>
      </c>
    </row>
    <row r="75" spans="1:23" s="129" customFormat="1" ht="18" customHeight="1">
      <c r="B75" s="253" t="s">
        <v>947</v>
      </c>
      <c r="C75" s="253">
        <v>92000</v>
      </c>
      <c r="D75" s="254" t="s">
        <v>564</v>
      </c>
      <c r="E75" s="276" t="s">
        <v>251</v>
      </c>
      <c r="F75" s="255">
        <v>31</v>
      </c>
      <c r="G75" s="255">
        <v>35.340000000000003</v>
      </c>
      <c r="H75" s="255">
        <f t="shared" si="10"/>
        <v>44.53</v>
      </c>
      <c r="I75" s="255">
        <f t="shared" si="7"/>
        <v>1380.43</v>
      </c>
      <c r="J75" s="256">
        <f t="shared" si="8"/>
        <v>1.9490763338224748E-3</v>
      </c>
      <c r="K75" s="248">
        <f t="shared" si="3"/>
        <v>656371.6399999999</v>
      </c>
      <c r="L75" s="247">
        <f t="shared" si="4"/>
        <v>0.92675356933437036</v>
      </c>
      <c r="M75" s="273" t="str">
        <f t="shared" si="11"/>
        <v>B</v>
      </c>
    </row>
    <row r="76" spans="1:23" s="129" customFormat="1" ht="18" customHeight="1">
      <c r="B76" s="253" t="s">
        <v>1046</v>
      </c>
      <c r="C76" s="253">
        <v>94216</v>
      </c>
      <c r="D76" s="254" t="s">
        <v>819</v>
      </c>
      <c r="E76" s="276" t="s">
        <v>42</v>
      </c>
      <c r="F76" s="255">
        <v>5.7887999999999993</v>
      </c>
      <c r="G76" s="255">
        <v>182.53</v>
      </c>
      <c r="H76" s="255">
        <f t="shared" si="10"/>
        <v>229.99</v>
      </c>
      <c r="I76" s="255">
        <f t="shared" si="7"/>
        <v>1331.37</v>
      </c>
      <c r="J76" s="256">
        <f t="shared" si="8"/>
        <v>1.8798068417530971E-3</v>
      </c>
      <c r="K76" s="248">
        <f t="shared" si="3"/>
        <v>657703.00999999989</v>
      </c>
      <c r="L76" s="247">
        <f t="shared" si="4"/>
        <v>0.92863337617612352</v>
      </c>
      <c r="M76" s="273" t="str">
        <f t="shared" si="11"/>
        <v>B</v>
      </c>
    </row>
    <row r="77" spans="1:23" s="129" customFormat="1" ht="18" customHeight="1">
      <c r="B77" s="253" t="s">
        <v>1027</v>
      </c>
      <c r="C77" s="253">
        <v>96536</v>
      </c>
      <c r="D77" s="254" t="s">
        <v>786</v>
      </c>
      <c r="E77" s="276" t="s">
        <v>42</v>
      </c>
      <c r="F77" s="255">
        <v>14.603999999999999</v>
      </c>
      <c r="G77" s="255">
        <v>69.05</v>
      </c>
      <c r="H77" s="255">
        <f t="shared" si="10"/>
        <v>87</v>
      </c>
      <c r="I77" s="255">
        <f t="shared" ref="I77:I108" si="12">ROUND(F77*H77,2)</f>
        <v>1270.55</v>
      </c>
      <c r="J77" s="256">
        <f t="shared" ref="J77:J108" si="13">I77/$I$190</f>
        <v>1.7939330034396131E-3</v>
      </c>
      <c r="K77" s="248">
        <f t="shared" si="3"/>
        <v>658973.55999999994</v>
      </c>
      <c r="L77" s="247">
        <f t="shared" si="4"/>
        <v>0.93042730917956318</v>
      </c>
      <c r="M77" s="273" t="str">
        <f t="shared" si="11"/>
        <v>B</v>
      </c>
    </row>
    <row r="78" spans="1:23" s="129" customFormat="1" ht="18" customHeight="1">
      <c r="B78" s="253" t="s">
        <v>948</v>
      </c>
      <c r="C78" s="253">
        <v>92008</v>
      </c>
      <c r="D78" s="254" t="s">
        <v>544</v>
      </c>
      <c r="E78" s="276" t="s">
        <v>251</v>
      </c>
      <c r="F78" s="255">
        <v>18</v>
      </c>
      <c r="G78" s="255">
        <v>54.16</v>
      </c>
      <c r="H78" s="255">
        <f t="shared" si="10"/>
        <v>68.239999999999995</v>
      </c>
      <c r="I78" s="255">
        <f t="shared" si="12"/>
        <v>1228.32</v>
      </c>
      <c r="J78" s="256">
        <f t="shared" si="13"/>
        <v>1.7343070219864984E-3</v>
      </c>
      <c r="K78" s="248">
        <f t="shared" si="3"/>
        <v>660201.87999999989</v>
      </c>
      <c r="L78" s="247">
        <f t="shared" si="4"/>
        <v>0.93216161620154969</v>
      </c>
      <c r="M78" s="273" t="str">
        <f t="shared" si="11"/>
        <v>B</v>
      </c>
    </row>
    <row r="79" spans="1:23" s="129" customFormat="1" ht="18" customHeight="1">
      <c r="B79" s="253" t="s">
        <v>1043</v>
      </c>
      <c r="C79" s="253">
        <v>101964</v>
      </c>
      <c r="D79" s="254" t="s">
        <v>816</v>
      </c>
      <c r="E79" s="276" t="s">
        <v>42</v>
      </c>
      <c r="F79" s="255">
        <v>5.7887999999999993</v>
      </c>
      <c r="G79" s="255">
        <v>163.41999999999999</v>
      </c>
      <c r="H79" s="255">
        <f t="shared" si="10"/>
        <v>205.91</v>
      </c>
      <c r="I79" s="255">
        <f t="shared" si="12"/>
        <v>1191.97</v>
      </c>
      <c r="J79" s="256">
        <f t="shared" si="13"/>
        <v>1.6829832136554372E-3</v>
      </c>
      <c r="K79" s="248">
        <f t="shared" ref="K79:K142" si="14">I79+K78</f>
        <v>661393.84999999986</v>
      </c>
      <c r="L79" s="247">
        <f t="shared" ref="L79:L142" si="15">J79+L78</f>
        <v>0.93384459941520515</v>
      </c>
      <c r="M79" s="273" t="str">
        <f t="shared" si="11"/>
        <v>B</v>
      </c>
    </row>
    <row r="80" spans="1:23" s="22" customFormat="1" ht="18" customHeight="1">
      <c r="A80" s="129"/>
      <c r="B80" s="253" t="s">
        <v>934</v>
      </c>
      <c r="C80" s="253">
        <v>89713</v>
      </c>
      <c r="D80" s="254" t="s">
        <v>672</v>
      </c>
      <c r="E80" s="276" t="s">
        <v>43</v>
      </c>
      <c r="F80" s="255">
        <v>25</v>
      </c>
      <c r="G80" s="255">
        <v>36.880000000000003</v>
      </c>
      <c r="H80" s="255">
        <f t="shared" si="10"/>
        <v>46.47</v>
      </c>
      <c r="I80" s="255">
        <f t="shared" si="12"/>
        <v>1161.75</v>
      </c>
      <c r="J80" s="256">
        <f t="shared" si="13"/>
        <v>1.640314561997537E-3</v>
      </c>
      <c r="K80" s="248">
        <f t="shared" si="14"/>
        <v>662555.59999999986</v>
      </c>
      <c r="L80" s="247">
        <f t="shared" si="15"/>
        <v>0.93548491397720268</v>
      </c>
      <c r="M80" s="273" t="str">
        <f t="shared" si="11"/>
        <v>B</v>
      </c>
      <c r="N80" s="129"/>
      <c r="O80" s="129"/>
      <c r="P80" s="129"/>
      <c r="Q80" s="129"/>
      <c r="R80" s="129"/>
      <c r="S80" s="129"/>
      <c r="T80" s="129"/>
      <c r="U80" s="129"/>
      <c r="V80" s="129"/>
      <c r="W80" s="129"/>
    </row>
    <row r="81" spans="1:23" s="22" customFormat="1" ht="18" customHeight="1">
      <c r="A81" s="129"/>
      <c r="B81" s="253" t="s">
        <v>599</v>
      </c>
      <c r="C81" s="253" t="s">
        <v>475</v>
      </c>
      <c r="D81" s="254" t="s">
        <v>476</v>
      </c>
      <c r="E81" s="276" t="s">
        <v>72</v>
      </c>
      <c r="F81" s="255">
        <v>2</v>
      </c>
      <c r="G81" s="255">
        <v>453.89</v>
      </c>
      <c r="H81" s="255">
        <f t="shared" si="10"/>
        <v>571.9</v>
      </c>
      <c r="I81" s="255">
        <f t="shared" si="12"/>
        <v>1143.8</v>
      </c>
      <c r="J81" s="256">
        <f t="shared" si="13"/>
        <v>1.6149703430280032E-3</v>
      </c>
      <c r="K81" s="248">
        <f t="shared" si="14"/>
        <v>663699.39999999991</v>
      </c>
      <c r="L81" s="247">
        <f t="shared" si="15"/>
        <v>0.93709988432023072</v>
      </c>
      <c r="M81" s="273" t="str">
        <f t="shared" si="11"/>
        <v>B</v>
      </c>
      <c r="N81" s="129"/>
      <c r="O81" s="129"/>
      <c r="P81" s="129"/>
      <c r="Q81" s="129"/>
      <c r="R81" s="129"/>
      <c r="S81" s="129"/>
      <c r="T81" s="129"/>
      <c r="U81" s="129"/>
      <c r="V81" s="129"/>
      <c r="W81" s="129"/>
    </row>
    <row r="82" spans="1:23" s="129" customFormat="1" ht="18" customHeight="1">
      <c r="B82" s="253" t="s">
        <v>228</v>
      </c>
      <c r="C82" s="253" t="s">
        <v>283</v>
      </c>
      <c r="D82" s="254" t="s">
        <v>282</v>
      </c>
      <c r="E82" s="276" t="s">
        <v>251</v>
      </c>
      <c r="F82" s="255">
        <v>4</v>
      </c>
      <c r="G82" s="255">
        <v>226.33</v>
      </c>
      <c r="H82" s="255">
        <f t="shared" si="10"/>
        <v>285.18</v>
      </c>
      <c r="I82" s="255">
        <f t="shared" si="12"/>
        <v>1140.72</v>
      </c>
      <c r="J82" s="256">
        <f t="shared" si="13"/>
        <v>1.6106215856783563E-3</v>
      </c>
      <c r="K82" s="248">
        <f t="shared" si="14"/>
        <v>664840.11999999988</v>
      </c>
      <c r="L82" s="247">
        <f t="shared" si="15"/>
        <v>0.9387105059059091</v>
      </c>
      <c r="M82" s="273" t="str">
        <f t="shared" si="11"/>
        <v>B</v>
      </c>
    </row>
    <row r="83" spans="1:23" s="129" customFormat="1" ht="18" customHeight="1">
      <c r="B83" s="253" t="s">
        <v>1032</v>
      </c>
      <c r="C83" s="253">
        <v>96544</v>
      </c>
      <c r="D83" s="254" t="s">
        <v>789</v>
      </c>
      <c r="E83" s="276" t="s">
        <v>88</v>
      </c>
      <c r="F83" s="255">
        <v>50</v>
      </c>
      <c r="G83" s="255">
        <v>17.95</v>
      </c>
      <c r="H83" s="255">
        <f t="shared" si="10"/>
        <v>22.62</v>
      </c>
      <c r="I83" s="255">
        <f t="shared" si="12"/>
        <v>1131</v>
      </c>
      <c r="J83" s="256">
        <f t="shared" si="13"/>
        <v>1.5968975852112884E-3</v>
      </c>
      <c r="K83" s="248">
        <f t="shared" si="14"/>
        <v>665971.11999999988</v>
      </c>
      <c r="L83" s="247">
        <f t="shared" si="15"/>
        <v>0.94030740349112041</v>
      </c>
      <c r="M83" s="273" t="str">
        <f t="shared" si="11"/>
        <v>B</v>
      </c>
    </row>
    <row r="84" spans="1:23" s="129" customFormat="1" ht="18" customHeight="1">
      <c r="B84" s="253" t="s">
        <v>614</v>
      </c>
      <c r="C84" s="253">
        <v>91953</v>
      </c>
      <c r="D84" s="254" t="s">
        <v>100</v>
      </c>
      <c r="E84" s="276" t="s">
        <v>251</v>
      </c>
      <c r="F84" s="255">
        <v>26</v>
      </c>
      <c r="G84" s="255">
        <v>33.82</v>
      </c>
      <c r="H84" s="255">
        <f t="shared" si="10"/>
        <v>42.61</v>
      </c>
      <c r="I84" s="255">
        <f t="shared" si="12"/>
        <v>1107.8599999999999</v>
      </c>
      <c r="J84" s="256">
        <f t="shared" si="13"/>
        <v>1.5642254277207584E-3</v>
      </c>
      <c r="K84" s="248">
        <f t="shared" si="14"/>
        <v>667078.97999999986</v>
      </c>
      <c r="L84" s="247">
        <f t="shared" si="15"/>
        <v>0.94187162891884113</v>
      </c>
      <c r="M84" s="273" t="str">
        <f t="shared" si="11"/>
        <v>B</v>
      </c>
    </row>
    <row r="85" spans="1:23" s="129" customFormat="1" ht="18" customHeight="1">
      <c r="A85" s="23"/>
      <c r="B85" s="253" t="s">
        <v>963</v>
      </c>
      <c r="C85" s="253" t="s">
        <v>871</v>
      </c>
      <c r="D85" s="254" t="s">
        <v>868</v>
      </c>
      <c r="E85" s="276" t="s">
        <v>42</v>
      </c>
      <c r="F85" s="255">
        <v>15</v>
      </c>
      <c r="G85" s="255">
        <v>57.34</v>
      </c>
      <c r="H85" s="255">
        <f t="shared" si="10"/>
        <v>72.25</v>
      </c>
      <c r="I85" s="255">
        <f t="shared" si="12"/>
        <v>1083.75</v>
      </c>
      <c r="J85" s="256">
        <f t="shared" si="13"/>
        <v>1.5301836940519308E-3</v>
      </c>
      <c r="K85" s="248">
        <f t="shared" si="14"/>
        <v>668162.72999999986</v>
      </c>
      <c r="L85" s="247">
        <f t="shared" si="15"/>
        <v>0.94340181261289302</v>
      </c>
      <c r="M85" s="273" t="str">
        <f t="shared" si="11"/>
        <v>B</v>
      </c>
    </row>
    <row r="86" spans="1:23" s="129" customFormat="1" ht="18" customHeight="1">
      <c r="B86" s="253" t="s">
        <v>1106</v>
      </c>
      <c r="C86" s="253">
        <v>86922</v>
      </c>
      <c r="D86" s="254" t="s">
        <v>773</v>
      </c>
      <c r="E86" s="276" t="s">
        <v>251</v>
      </c>
      <c r="F86" s="255">
        <v>1</v>
      </c>
      <c r="G86" s="255">
        <v>845.88</v>
      </c>
      <c r="H86" s="255">
        <f t="shared" si="10"/>
        <v>1065.81</v>
      </c>
      <c r="I86" s="255">
        <f t="shared" si="12"/>
        <v>1065.81</v>
      </c>
      <c r="J86" s="256">
        <f t="shared" si="13"/>
        <v>1.5048535944244413E-3</v>
      </c>
      <c r="K86" s="248">
        <f t="shared" si="14"/>
        <v>669228.53999999992</v>
      </c>
      <c r="L86" s="247">
        <f t="shared" si="15"/>
        <v>0.94490666620731745</v>
      </c>
      <c r="M86" s="273" t="str">
        <f t="shared" si="11"/>
        <v>B</v>
      </c>
    </row>
    <row r="87" spans="1:23" s="129" customFormat="1" ht="18" customHeight="1">
      <c r="B87" s="253" t="s">
        <v>481</v>
      </c>
      <c r="C87" s="253">
        <v>96526</v>
      </c>
      <c r="D87" s="254" t="s">
        <v>480</v>
      </c>
      <c r="E87" s="276" t="s">
        <v>44</v>
      </c>
      <c r="F87" s="255">
        <v>3.43</v>
      </c>
      <c r="G87" s="255">
        <v>238.08</v>
      </c>
      <c r="H87" s="255">
        <f t="shared" si="10"/>
        <v>299.98</v>
      </c>
      <c r="I87" s="255">
        <f t="shared" si="12"/>
        <v>1028.93</v>
      </c>
      <c r="J87" s="256">
        <f t="shared" si="13"/>
        <v>1.4527814609650318E-3</v>
      </c>
      <c r="K87" s="248">
        <f t="shared" si="14"/>
        <v>670257.47</v>
      </c>
      <c r="L87" s="247">
        <f t="shared" si="15"/>
        <v>0.94635944766828251</v>
      </c>
      <c r="M87" s="273" t="str">
        <f t="shared" si="11"/>
        <v>B</v>
      </c>
    </row>
    <row r="88" spans="1:23" s="129" customFormat="1" ht="18" customHeight="1">
      <c r="B88" s="240" t="s">
        <v>227</v>
      </c>
      <c r="C88" s="240">
        <v>103782</v>
      </c>
      <c r="D88" s="241" t="s">
        <v>281</v>
      </c>
      <c r="E88" s="277" t="s">
        <v>251</v>
      </c>
      <c r="F88" s="242">
        <v>23</v>
      </c>
      <c r="G88" s="242">
        <v>35.5</v>
      </c>
      <c r="H88" s="242">
        <f t="shared" si="10"/>
        <v>44.73</v>
      </c>
      <c r="I88" s="242">
        <f t="shared" si="12"/>
        <v>1028.79</v>
      </c>
      <c r="J88" s="243">
        <f t="shared" si="13"/>
        <v>1.4525837901764114E-3</v>
      </c>
      <c r="K88" s="248">
        <f t="shared" si="14"/>
        <v>671286.26</v>
      </c>
      <c r="L88" s="247">
        <f t="shared" si="15"/>
        <v>0.94781203145845894</v>
      </c>
      <c r="M88" s="273" t="str">
        <f t="shared" si="11"/>
        <v>B</v>
      </c>
    </row>
    <row r="89" spans="1:23" s="129" customFormat="1" ht="18" customHeight="1">
      <c r="B89" s="240" t="s">
        <v>1050</v>
      </c>
      <c r="C89" s="240">
        <v>101862</v>
      </c>
      <c r="D89" s="241" t="s">
        <v>781</v>
      </c>
      <c r="E89" s="277" t="s">
        <v>42</v>
      </c>
      <c r="F89" s="242">
        <v>20</v>
      </c>
      <c r="G89" s="242">
        <v>40.06</v>
      </c>
      <c r="H89" s="242">
        <f t="shared" si="10"/>
        <v>50.48</v>
      </c>
      <c r="I89" s="242">
        <f t="shared" si="12"/>
        <v>1009.6</v>
      </c>
      <c r="J89" s="243">
        <f t="shared" si="13"/>
        <v>1.4254887727933835E-3</v>
      </c>
      <c r="K89" s="248">
        <f t="shared" si="14"/>
        <v>672295.86</v>
      </c>
      <c r="L89" s="247">
        <f t="shared" si="15"/>
        <v>0.9492375202312523</v>
      </c>
      <c r="M89" s="273" t="str">
        <f t="shared" si="11"/>
        <v>B</v>
      </c>
    </row>
    <row r="90" spans="1:23" s="129" customFormat="1" ht="18" customHeight="1">
      <c r="B90" s="240" t="s">
        <v>972</v>
      </c>
      <c r="C90" s="240" t="s">
        <v>180</v>
      </c>
      <c r="D90" s="241" t="s">
        <v>879</v>
      </c>
      <c r="E90" s="277" t="s">
        <v>251</v>
      </c>
      <c r="F90" s="242">
        <v>16</v>
      </c>
      <c r="G90" s="242">
        <v>49.9</v>
      </c>
      <c r="H90" s="242">
        <f t="shared" si="10"/>
        <v>62.87</v>
      </c>
      <c r="I90" s="242">
        <f t="shared" si="12"/>
        <v>1005.92</v>
      </c>
      <c r="J90" s="243">
        <f t="shared" si="13"/>
        <v>1.4202928549210778E-3</v>
      </c>
      <c r="K90" s="248">
        <f t="shared" si="14"/>
        <v>673301.78</v>
      </c>
      <c r="L90" s="247">
        <f t="shared" si="15"/>
        <v>0.95065781308617336</v>
      </c>
      <c r="M90" s="273" t="str">
        <f t="shared" si="11"/>
        <v>C</v>
      </c>
    </row>
    <row r="91" spans="1:23" s="129" customFormat="1" ht="18" customHeight="1">
      <c r="A91" s="23"/>
      <c r="B91" s="240" t="s">
        <v>1033</v>
      </c>
      <c r="C91" s="240">
        <v>96545</v>
      </c>
      <c r="D91" s="241" t="s">
        <v>790</v>
      </c>
      <c r="E91" s="277" t="s">
        <v>88</v>
      </c>
      <c r="F91" s="242">
        <v>50</v>
      </c>
      <c r="G91" s="242">
        <v>15.87</v>
      </c>
      <c r="H91" s="242">
        <f t="shared" si="10"/>
        <v>20</v>
      </c>
      <c r="I91" s="242">
        <f t="shared" si="12"/>
        <v>1000</v>
      </c>
      <c r="J91" s="243">
        <f t="shared" si="13"/>
        <v>1.4119342044308474E-3</v>
      </c>
      <c r="K91" s="248">
        <f t="shared" si="14"/>
        <v>674301.78</v>
      </c>
      <c r="L91" s="247">
        <f t="shared" si="15"/>
        <v>0.95206974729060423</v>
      </c>
      <c r="M91" s="273" t="str">
        <f t="shared" si="11"/>
        <v>C</v>
      </c>
    </row>
    <row r="92" spans="1:23" s="129" customFormat="1" ht="18" customHeight="1">
      <c r="B92" s="240" t="s">
        <v>632</v>
      </c>
      <c r="C92" s="240" t="s">
        <v>189</v>
      </c>
      <c r="D92" s="241" t="s">
        <v>404</v>
      </c>
      <c r="E92" s="277" t="s">
        <v>42</v>
      </c>
      <c r="F92" s="242">
        <v>1.4750000000000001</v>
      </c>
      <c r="G92" s="242">
        <v>484.71</v>
      </c>
      <c r="H92" s="242">
        <f t="shared" si="10"/>
        <v>610.73</v>
      </c>
      <c r="I92" s="242">
        <f t="shared" si="12"/>
        <v>900.83</v>
      </c>
      <c r="J92" s="243">
        <f t="shared" si="13"/>
        <v>1.2719126893774404E-3</v>
      </c>
      <c r="K92" s="248">
        <f t="shared" si="14"/>
        <v>675202.61</v>
      </c>
      <c r="L92" s="247">
        <f t="shared" si="15"/>
        <v>0.95334165997998166</v>
      </c>
      <c r="M92" s="273" t="str">
        <f t="shared" si="11"/>
        <v>C</v>
      </c>
    </row>
    <row r="93" spans="1:23" s="129" customFormat="1" ht="18" customHeight="1">
      <c r="B93" s="240" t="s">
        <v>1036</v>
      </c>
      <c r="C93" s="240">
        <v>92427</v>
      </c>
      <c r="D93" s="241" t="s">
        <v>805</v>
      </c>
      <c r="E93" s="277" t="s">
        <v>42</v>
      </c>
      <c r="F93" s="242">
        <v>10.56</v>
      </c>
      <c r="G93" s="242">
        <v>67.680000000000007</v>
      </c>
      <c r="H93" s="242">
        <f t="shared" si="10"/>
        <v>85.28</v>
      </c>
      <c r="I93" s="242">
        <f t="shared" si="12"/>
        <v>900.56</v>
      </c>
      <c r="J93" s="243">
        <f t="shared" si="13"/>
        <v>1.2715314671422437E-3</v>
      </c>
      <c r="K93" s="248">
        <f t="shared" si="14"/>
        <v>676103.17</v>
      </c>
      <c r="L93" s="247">
        <f t="shared" si="15"/>
        <v>0.95461319144712387</v>
      </c>
      <c r="M93" s="273" t="str">
        <f t="shared" si="11"/>
        <v>C</v>
      </c>
    </row>
    <row r="94" spans="1:23" s="129" customFormat="1" ht="18" customHeight="1">
      <c r="B94" s="240" t="s">
        <v>217</v>
      </c>
      <c r="C94" s="240" t="s">
        <v>124</v>
      </c>
      <c r="D94" s="241" t="s">
        <v>273</v>
      </c>
      <c r="E94" s="277" t="s">
        <v>72</v>
      </c>
      <c r="F94" s="242">
        <v>35</v>
      </c>
      <c r="G94" s="242">
        <v>20.02</v>
      </c>
      <c r="H94" s="242">
        <f t="shared" si="10"/>
        <v>25.23</v>
      </c>
      <c r="I94" s="242">
        <f t="shared" si="12"/>
        <v>883.05</v>
      </c>
      <c r="J94" s="243">
        <f t="shared" si="13"/>
        <v>1.2468084992226596E-3</v>
      </c>
      <c r="K94" s="248">
        <f t="shared" si="14"/>
        <v>676986.22000000009</v>
      </c>
      <c r="L94" s="247">
        <f t="shared" si="15"/>
        <v>0.95585999994634652</v>
      </c>
      <c r="M94" s="273" t="str">
        <f t="shared" si="11"/>
        <v>C</v>
      </c>
    </row>
    <row r="95" spans="1:23" s="129" customFormat="1" ht="18" customHeight="1">
      <c r="B95" s="240" t="s">
        <v>1037</v>
      </c>
      <c r="C95" s="240">
        <v>92463</v>
      </c>
      <c r="D95" s="241" t="s">
        <v>807</v>
      </c>
      <c r="E95" s="277" t="s">
        <v>42</v>
      </c>
      <c r="F95" s="242">
        <v>6.1715999999999998</v>
      </c>
      <c r="G95" s="242">
        <v>113.39</v>
      </c>
      <c r="H95" s="242">
        <f t="shared" si="10"/>
        <v>142.87</v>
      </c>
      <c r="I95" s="242">
        <f t="shared" si="12"/>
        <v>881.74</v>
      </c>
      <c r="J95" s="243">
        <f t="shared" si="13"/>
        <v>1.2449588654148554E-3</v>
      </c>
      <c r="K95" s="248">
        <f t="shared" si="14"/>
        <v>677867.96000000008</v>
      </c>
      <c r="L95" s="247">
        <f t="shared" si="15"/>
        <v>0.95710495881176139</v>
      </c>
      <c r="M95" s="273" t="str">
        <f t="shared" si="11"/>
        <v>C</v>
      </c>
    </row>
    <row r="96" spans="1:23" s="129" customFormat="1" ht="18" customHeight="1">
      <c r="B96" s="240" t="s">
        <v>590</v>
      </c>
      <c r="C96" s="240" t="s">
        <v>457</v>
      </c>
      <c r="D96" s="241" t="s">
        <v>458</v>
      </c>
      <c r="E96" s="277" t="s">
        <v>43</v>
      </c>
      <c r="F96" s="242">
        <v>23</v>
      </c>
      <c r="G96" s="242">
        <v>29.78</v>
      </c>
      <c r="H96" s="242">
        <f t="shared" si="10"/>
        <v>37.520000000000003</v>
      </c>
      <c r="I96" s="242">
        <f t="shared" si="12"/>
        <v>862.96</v>
      </c>
      <c r="J96" s="243">
        <f t="shared" si="13"/>
        <v>1.2184427410556441E-3</v>
      </c>
      <c r="K96" s="248">
        <f t="shared" si="14"/>
        <v>678730.92</v>
      </c>
      <c r="L96" s="247">
        <f t="shared" si="15"/>
        <v>0.95832340155281703</v>
      </c>
      <c r="M96" s="273" t="str">
        <f t="shared" si="11"/>
        <v>C</v>
      </c>
    </row>
    <row r="97" spans="1:13" s="129" customFormat="1" ht="18" customHeight="1">
      <c r="A97" s="23"/>
      <c r="B97" s="240" t="s">
        <v>1035</v>
      </c>
      <c r="C97" s="240">
        <v>98557</v>
      </c>
      <c r="D97" s="241" t="s">
        <v>792</v>
      </c>
      <c r="E97" s="277" t="s">
        <v>42</v>
      </c>
      <c r="F97" s="242">
        <v>14.603999999999999</v>
      </c>
      <c r="G97" s="242">
        <v>46.32</v>
      </c>
      <c r="H97" s="242">
        <f t="shared" si="10"/>
        <v>58.36</v>
      </c>
      <c r="I97" s="242">
        <f t="shared" si="12"/>
        <v>852.29</v>
      </c>
      <c r="J97" s="243">
        <f t="shared" si="13"/>
        <v>1.2033774030943667E-3</v>
      </c>
      <c r="K97" s="248">
        <f t="shared" si="14"/>
        <v>679583.21000000008</v>
      </c>
      <c r="L97" s="247">
        <f t="shared" si="15"/>
        <v>0.95952677895591143</v>
      </c>
      <c r="M97" s="273" t="str">
        <f t="shared" si="11"/>
        <v>C</v>
      </c>
    </row>
    <row r="98" spans="1:13" s="129" customFormat="1" ht="18" customHeight="1">
      <c r="B98" s="240" t="s">
        <v>533</v>
      </c>
      <c r="C98" s="240">
        <v>92012</v>
      </c>
      <c r="D98" s="241" t="s">
        <v>546</v>
      </c>
      <c r="E98" s="277" t="s">
        <v>251</v>
      </c>
      <c r="F98" s="242">
        <v>7</v>
      </c>
      <c r="G98" s="242">
        <v>87.79</v>
      </c>
      <c r="H98" s="242">
        <f t="shared" ref="H98:H129" si="16">ROUND(G98*(1+$G$6),2)</f>
        <v>110.62</v>
      </c>
      <c r="I98" s="242">
        <f t="shared" si="12"/>
        <v>774.34</v>
      </c>
      <c r="J98" s="243">
        <f t="shared" si="13"/>
        <v>1.0933171318589824E-3</v>
      </c>
      <c r="K98" s="248">
        <f t="shared" si="14"/>
        <v>680357.55</v>
      </c>
      <c r="L98" s="247">
        <f t="shared" si="15"/>
        <v>0.96062009608777044</v>
      </c>
      <c r="M98" s="273" t="str">
        <f t="shared" si="11"/>
        <v>C</v>
      </c>
    </row>
    <row r="99" spans="1:13" s="129" customFormat="1" ht="18" customHeight="1">
      <c r="B99" s="240" t="s">
        <v>1026</v>
      </c>
      <c r="C99" s="240">
        <v>96527</v>
      </c>
      <c r="D99" s="241" t="s">
        <v>784</v>
      </c>
      <c r="E99" s="277" t="s">
        <v>44</v>
      </c>
      <c r="F99" s="242">
        <v>5.0039999999999996</v>
      </c>
      <c r="G99" s="242">
        <v>122.36</v>
      </c>
      <c r="H99" s="242">
        <f t="shared" si="16"/>
        <v>154.16999999999999</v>
      </c>
      <c r="I99" s="242">
        <f t="shared" si="12"/>
        <v>771.47</v>
      </c>
      <c r="J99" s="243">
        <f t="shared" si="13"/>
        <v>1.0892648806922658E-3</v>
      </c>
      <c r="K99" s="248">
        <f t="shared" si="14"/>
        <v>681129.02</v>
      </c>
      <c r="L99" s="247">
        <f t="shared" si="15"/>
        <v>0.96170936096846271</v>
      </c>
      <c r="M99" s="273" t="str">
        <f t="shared" si="11"/>
        <v>C</v>
      </c>
    </row>
    <row r="100" spans="1:13" s="129" customFormat="1" ht="18" customHeight="1">
      <c r="B100" s="240" t="s">
        <v>619</v>
      </c>
      <c r="C100" s="240">
        <v>91993</v>
      </c>
      <c r="D100" s="241" t="s">
        <v>545</v>
      </c>
      <c r="E100" s="277" t="s">
        <v>251</v>
      </c>
      <c r="F100" s="242">
        <v>11</v>
      </c>
      <c r="G100" s="242">
        <v>54.95</v>
      </c>
      <c r="H100" s="242">
        <f t="shared" si="16"/>
        <v>69.239999999999995</v>
      </c>
      <c r="I100" s="242">
        <f t="shared" si="12"/>
        <v>761.64</v>
      </c>
      <c r="J100" s="243">
        <f t="shared" si="13"/>
        <v>1.0753855674627106E-3</v>
      </c>
      <c r="K100" s="248">
        <f t="shared" si="14"/>
        <v>681890.66</v>
      </c>
      <c r="L100" s="247">
        <f t="shared" si="15"/>
        <v>0.96278474653592538</v>
      </c>
      <c r="M100" s="273" t="str">
        <f t="shared" si="11"/>
        <v>C</v>
      </c>
    </row>
    <row r="101" spans="1:13" s="129" customFormat="1" ht="18" customHeight="1">
      <c r="B101" s="240" t="s">
        <v>1040</v>
      </c>
      <c r="C101" s="240">
        <v>92762</v>
      </c>
      <c r="D101" s="241" t="s">
        <v>813</v>
      </c>
      <c r="E101" s="277" t="s">
        <v>88</v>
      </c>
      <c r="F101" s="242">
        <v>55</v>
      </c>
      <c r="G101" s="242">
        <v>10.34</v>
      </c>
      <c r="H101" s="242">
        <f t="shared" si="16"/>
        <v>13.03</v>
      </c>
      <c r="I101" s="242">
        <f t="shared" si="12"/>
        <v>716.65</v>
      </c>
      <c r="J101" s="243">
        <f t="shared" si="13"/>
        <v>1.0118626476053668E-3</v>
      </c>
      <c r="K101" s="248">
        <f t="shared" si="14"/>
        <v>682607.31</v>
      </c>
      <c r="L101" s="247">
        <f t="shared" si="15"/>
        <v>0.96379660918353072</v>
      </c>
      <c r="M101" s="273" t="str">
        <f t="shared" si="11"/>
        <v>C</v>
      </c>
    </row>
    <row r="102" spans="1:13" s="129" customFormat="1" ht="18" customHeight="1">
      <c r="B102" s="240" t="s">
        <v>706</v>
      </c>
      <c r="C102" s="240">
        <v>45075</v>
      </c>
      <c r="D102" s="241" t="s">
        <v>699</v>
      </c>
      <c r="E102" s="277" t="s">
        <v>251</v>
      </c>
      <c r="F102" s="242">
        <v>8</v>
      </c>
      <c r="G102" s="242">
        <v>69.66</v>
      </c>
      <c r="H102" s="242">
        <f t="shared" si="16"/>
        <v>87.77</v>
      </c>
      <c r="I102" s="242">
        <f t="shared" si="12"/>
        <v>702.16</v>
      </c>
      <c r="J102" s="243">
        <f t="shared" si="13"/>
        <v>9.9140372098316366E-4</v>
      </c>
      <c r="K102" s="248">
        <f t="shared" si="14"/>
        <v>683309.47000000009</v>
      </c>
      <c r="L102" s="247">
        <f t="shared" si="15"/>
        <v>0.96478801290451388</v>
      </c>
      <c r="M102" s="273" t="str">
        <f t="shared" si="11"/>
        <v>C</v>
      </c>
    </row>
    <row r="103" spans="1:13" s="129" customFormat="1" ht="18" customHeight="1">
      <c r="B103" s="240" t="s">
        <v>1029</v>
      </c>
      <c r="C103" s="240" t="str">
        <f>COMPOSIÇÕES!C63</f>
        <v>COMP012</v>
      </c>
      <c r="D103" s="241" t="s">
        <v>793</v>
      </c>
      <c r="E103" s="277" t="s">
        <v>44</v>
      </c>
      <c r="F103" s="242">
        <v>0.86399999999999999</v>
      </c>
      <c r="G103" s="242">
        <v>611.14</v>
      </c>
      <c r="H103" s="242">
        <f t="shared" si="16"/>
        <v>770.04</v>
      </c>
      <c r="I103" s="242">
        <f t="shared" si="12"/>
        <v>665.31</v>
      </c>
      <c r="J103" s="243">
        <f t="shared" si="13"/>
        <v>9.3937394554988694E-4</v>
      </c>
      <c r="K103" s="248">
        <f t="shared" si="14"/>
        <v>683974.78000000014</v>
      </c>
      <c r="L103" s="247">
        <f t="shared" si="15"/>
        <v>0.96572738685006376</v>
      </c>
      <c r="M103" s="273" t="str">
        <f t="shared" si="11"/>
        <v>C</v>
      </c>
    </row>
    <row r="104" spans="1:13" s="129" customFormat="1" ht="18" customHeight="1">
      <c r="B104" s="240" t="s">
        <v>914</v>
      </c>
      <c r="C104" s="240">
        <v>87527</v>
      </c>
      <c r="D104" s="241" t="s">
        <v>666</v>
      </c>
      <c r="E104" s="277" t="s">
        <v>42</v>
      </c>
      <c r="F104" s="242">
        <v>13.37</v>
      </c>
      <c r="G104" s="242">
        <v>39.15</v>
      </c>
      <c r="H104" s="242">
        <f t="shared" si="16"/>
        <v>49.33</v>
      </c>
      <c r="I104" s="242">
        <f t="shared" si="12"/>
        <v>659.54</v>
      </c>
      <c r="J104" s="243">
        <f t="shared" si="13"/>
        <v>9.3122708519032102E-4</v>
      </c>
      <c r="K104" s="248">
        <f t="shared" si="14"/>
        <v>684634.32000000018</v>
      </c>
      <c r="L104" s="247">
        <f t="shared" si="15"/>
        <v>0.9666586139352541</v>
      </c>
      <c r="M104" s="273" t="str">
        <f t="shared" si="11"/>
        <v>C</v>
      </c>
    </row>
    <row r="105" spans="1:13" s="129" customFormat="1" ht="18" customHeight="1">
      <c r="B105" s="240" t="s">
        <v>301</v>
      </c>
      <c r="C105" s="240">
        <v>97632</v>
      </c>
      <c r="D105" s="241" t="s">
        <v>354</v>
      </c>
      <c r="E105" s="277" t="s">
        <v>43</v>
      </c>
      <c r="F105" s="242">
        <v>166</v>
      </c>
      <c r="G105" s="242">
        <v>3.11</v>
      </c>
      <c r="H105" s="242">
        <f t="shared" si="16"/>
        <v>3.92</v>
      </c>
      <c r="I105" s="242">
        <f t="shared" si="12"/>
        <v>650.72</v>
      </c>
      <c r="J105" s="243">
        <f t="shared" si="13"/>
        <v>9.1877382550724102E-4</v>
      </c>
      <c r="K105" s="248">
        <f t="shared" si="14"/>
        <v>685285.04000000015</v>
      </c>
      <c r="L105" s="247">
        <f t="shared" si="15"/>
        <v>0.9675773877607613</v>
      </c>
      <c r="M105" s="273" t="str">
        <f t="shared" si="11"/>
        <v>C</v>
      </c>
    </row>
    <row r="106" spans="1:13" s="129" customFormat="1" ht="18" customHeight="1">
      <c r="B106" s="240" t="s">
        <v>513</v>
      </c>
      <c r="C106" s="240">
        <v>86931</v>
      </c>
      <c r="D106" s="241" t="s">
        <v>445</v>
      </c>
      <c r="E106" s="277" t="s">
        <v>72</v>
      </c>
      <c r="F106" s="242">
        <v>1</v>
      </c>
      <c r="G106" s="242">
        <v>512.35</v>
      </c>
      <c r="H106" s="242">
        <f t="shared" si="16"/>
        <v>645.55999999999995</v>
      </c>
      <c r="I106" s="242">
        <f t="shared" si="12"/>
        <v>645.55999999999995</v>
      </c>
      <c r="J106" s="243">
        <f t="shared" si="13"/>
        <v>9.1148824501237769E-4</v>
      </c>
      <c r="K106" s="248">
        <f t="shared" si="14"/>
        <v>685930.60000000021</v>
      </c>
      <c r="L106" s="247">
        <f t="shared" si="15"/>
        <v>0.96848887600577371</v>
      </c>
      <c r="M106" s="273" t="str">
        <f t="shared" si="11"/>
        <v>C</v>
      </c>
    </row>
    <row r="107" spans="1:13" s="129" customFormat="1" ht="18" customHeight="1">
      <c r="B107" s="240" t="s">
        <v>234</v>
      </c>
      <c r="C107" s="240">
        <v>101883</v>
      </c>
      <c r="D107" s="241" t="s">
        <v>274</v>
      </c>
      <c r="E107" s="277" t="s">
        <v>72</v>
      </c>
      <c r="F107" s="242">
        <v>1</v>
      </c>
      <c r="G107" s="242">
        <v>510.82</v>
      </c>
      <c r="H107" s="242">
        <f t="shared" si="16"/>
        <v>643.63</v>
      </c>
      <c r="I107" s="242">
        <f t="shared" si="12"/>
        <v>643.63</v>
      </c>
      <c r="J107" s="243">
        <f t="shared" si="13"/>
        <v>9.0876321199782624E-4</v>
      </c>
      <c r="K107" s="248">
        <f t="shared" si="14"/>
        <v>686574.23000000021</v>
      </c>
      <c r="L107" s="247">
        <f t="shared" si="15"/>
        <v>0.96939763921777156</v>
      </c>
      <c r="M107" s="273" t="str">
        <f t="shared" si="11"/>
        <v>C</v>
      </c>
    </row>
    <row r="108" spans="1:13" s="129" customFormat="1" ht="18" customHeight="1">
      <c r="A108" s="22"/>
      <c r="B108" s="240" t="s">
        <v>531</v>
      </c>
      <c r="C108" s="240">
        <v>91996</v>
      </c>
      <c r="D108" s="241" t="s">
        <v>547</v>
      </c>
      <c r="E108" s="277" t="s">
        <v>251</v>
      </c>
      <c r="F108" s="242">
        <v>12</v>
      </c>
      <c r="G108" s="242">
        <v>40.25</v>
      </c>
      <c r="H108" s="242">
        <f t="shared" si="16"/>
        <v>50.72</v>
      </c>
      <c r="I108" s="242">
        <f t="shared" si="12"/>
        <v>608.64</v>
      </c>
      <c r="J108" s="243">
        <f t="shared" si="13"/>
        <v>8.5935963418479091E-4</v>
      </c>
      <c r="K108" s="248">
        <f t="shared" si="14"/>
        <v>687182.87000000023</v>
      </c>
      <c r="L108" s="247">
        <f t="shared" si="15"/>
        <v>0.97025699885195638</v>
      </c>
      <c r="M108" s="273" t="str">
        <f t="shared" si="11"/>
        <v>C</v>
      </c>
    </row>
    <row r="109" spans="1:13" s="129" customFormat="1" ht="18" customHeight="1">
      <c r="B109" s="240" t="s">
        <v>993</v>
      </c>
      <c r="C109" s="240">
        <v>97622</v>
      </c>
      <c r="D109" s="241" t="s">
        <v>386</v>
      </c>
      <c r="E109" s="277" t="s">
        <v>44</v>
      </c>
      <c r="F109" s="242">
        <v>7.03</v>
      </c>
      <c r="G109" s="242">
        <v>68.19</v>
      </c>
      <c r="H109" s="242">
        <f t="shared" si="16"/>
        <v>85.92</v>
      </c>
      <c r="I109" s="242">
        <f t="shared" ref="I109:I140" si="17">ROUND(F109*H109,2)</f>
        <v>604.02</v>
      </c>
      <c r="J109" s="243">
        <f t="shared" ref="J109:J140" si="18">I109/$I$190</f>
        <v>8.5283649816032044E-4</v>
      </c>
      <c r="K109" s="248">
        <f t="shared" si="14"/>
        <v>687786.89000000025</v>
      </c>
      <c r="L109" s="247">
        <f t="shared" si="15"/>
        <v>0.97110983535011675</v>
      </c>
      <c r="M109" s="273" t="str">
        <f t="shared" si="11"/>
        <v>C</v>
      </c>
    </row>
    <row r="110" spans="1:13" s="129" customFormat="1" ht="18" customHeight="1">
      <c r="A110" s="23"/>
      <c r="B110" s="240" t="s">
        <v>720</v>
      </c>
      <c r="C110" s="240" t="s">
        <v>152</v>
      </c>
      <c r="D110" s="241" t="s">
        <v>689</v>
      </c>
      <c r="E110" s="277" t="s">
        <v>42</v>
      </c>
      <c r="F110" s="242">
        <v>12</v>
      </c>
      <c r="G110" s="242">
        <v>39.770000000000003</v>
      </c>
      <c r="H110" s="242">
        <f t="shared" si="16"/>
        <v>50.11</v>
      </c>
      <c r="I110" s="242">
        <f t="shared" si="17"/>
        <v>601.32000000000005</v>
      </c>
      <c r="J110" s="243">
        <f t="shared" si="18"/>
        <v>8.4902427580835715E-4</v>
      </c>
      <c r="K110" s="248">
        <f t="shared" si="14"/>
        <v>688388.2100000002</v>
      </c>
      <c r="L110" s="247">
        <f t="shared" si="15"/>
        <v>0.9719588596259251</v>
      </c>
      <c r="M110" s="273" t="str">
        <f t="shared" si="11"/>
        <v>C</v>
      </c>
    </row>
    <row r="111" spans="1:13" s="129" customFormat="1" ht="18" customHeight="1">
      <c r="B111" s="240" t="s">
        <v>635</v>
      </c>
      <c r="C111" s="240" t="s">
        <v>412</v>
      </c>
      <c r="D111" s="241" t="s">
        <v>413</v>
      </c>
      <c r="E111" s="277" t="s">
        <v>42</v>
      </c>
      <c r="F111" s="242">
        <v>108.84</v>
      </c>
      <c r="G111" s="242">
        <v>4.38</v>
      </c>
      <c r="H111" s="242">
        <f t="shared" si="16"/>
        <v>5.52</v>
      </c>
      <c r="I111" s="242">
        <f t="shared" si="17"/>
        <v>600.79999999999995</v>
      </c>
      <c r="J111" s="243">
        <f t="shared" si="18"/>
        <v>8.4829007002205307E-4</v>
      </c>
      <c r="K111" s="248">
        <f t="shared" si="14"/>
        <v>688989.01000000024</v>
      </c>
      <c r="L111" s="247">
        <f t="shared" si="15"/>
        <v>0.97280714969594717</v>
      </c>
      <c r="M111" s="273" t="str">
        <f t="shared" si="11"/>
        <v>C</v>
      </c>
    </row>
    <row r="112" spans="1:13" s="129" customFormat="1" ht="18" customHeight="1">
      <c r="B112" s="240" t="s">
        <v>929</v>
      </c>
      <c r="C112" s="240" t="s">
        <v>150</v>
      </c>
      <c r="D112" s="241" t="s">
        <v>648</v>
      </c>
      <c r="E112" s="277" t="s">
        <v>251</v>
      </c>
      <c r="F112" s="242">
        <v>1</v>
      </c>
      <c r="G112" s="242">
        <v>457.96</v>
      </c>
      <c r="H112" s="242">
        <f t="shared" si="16"/>
        <v>577.03</v>
      </c>
      <c r="I112" s="242">
        <f t="shared" si="17"/>
        <v>577.03</v>
      </c>
      <c r="J112" s="243">
        <f t="shared" si="18"/>
        <v>8.1472839398273177E-4</v>
      </c>
      <c r="K112" s="248">
        <f t="shared" si="14"/>
        <v>689566.04000000027</v>
      </c>
      <c r="L112" s="247">
        <f t="shared" si="15"/>
        <v>0.97362187808992995</v>
      </c>
      <c r="M112" s="273" t="str">
        <f t="shared" si="11"/>
        <v>C</v>
      </c>
    </row>
    <row r="113" spans="1:23" s="22" customFormat="1" ht="18" customHeight="1">
      <c r="B113" s="240" t="s">
        <v>1048</v>
      </c>
      <c r="C113" s="240">
        <v>94229</v>
      </c>
      <c r="D113" s="241" t="s">
        <v>821</v>
      </c>
      <c r="E113" s="277" t="s">
        <v>43</v>
      </c>
      <c r="F113" s="242">
        <v>2.52</v>
      </c>
      <c r="G113" s="242">
        <v>177.9</v>
      </c>
      <c r="H113" s="242">
        <f t="shared" si="16"/>
        <v>224.15</v>
      </c>
      <c r="I113" s="242">
        <f t="shared" si="17"/>
        <v>564.86</v>
      </c>
      <c r="J113" s="243">
        <f t="shared" si="18"/>
        <v>7.9754515471480844E-4</v>
      </c>
      <c r="K113" s="248">
        <f t="shared" si="14"/>
        <v>690130.90000000026</v>
      </c>
      <c r="L113" s="247">
        <f t="shared" si="15"/>
        <v>0.97441942324464481</v>
      </c>
      <c r="M113" s="273" t="str">
        <f t="shared" si="11"/>
        <v>C</v>
      </c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</row>
    <row r="114" spans="1:23" s="129" customFormat="1" ht="19.5" customHeight="1">
      <c r="B114" s="240" t="s">
        <v>928</v>
      </c>
      <c r="C114" s="240">
        <v>86936</v>
      </c>
      <c r="D114" s="241" t="s">
        <v>647</v>
      </c>
      <c r="E114" s="277" t="s">
        <v>251</v>
      </c>
      <c r="F114" s="242">
        <v>1</v>
      </c>
      <c r="G114" s="242">
        <v>440.18</v>
      </c>
      <c r="H114" s="242">
        <f t="shared" si="16"/>
        <v>554.63</v>
      </c>
      <c r="I114" s="242">
        <f t="shared" si="17"/>
        <v>554.63</v>
      </c>
      <c r="J114" s="243">
        <f t="shared" si="18"/>
        <v>7.8310106780348084E-4</v>
      </c>
      <c r="K114" s="248">
        <f t="shared" si="14"/>
        <v>690685.53000000026</v>
      </c>
      <c r="L114" s="247">
        <f t="shared" si="15"/>
        <v>0.97520252431244825</v>
      </c>
      <c r="M114" s="273" t="str">
        <f t="shared" si="11"/>
        <v>C</v>
      </c>
    </row>
    <row r="115" spans="1:23" s="129" customFormat="1" ht="18" customHeight="1">
      <c r="B115" s="240" t="s">
        <v>927</v>
      </c>
      <c r="C115" s="240">
        <v>86908</v>
      </c>
      <c r="D115" s="241" t="s">
        <v>644</v>
      </c>
      <c r="E115" s="277" t="s">
        <v>251</v>
      </c>
      <c r="F115" s="242">
        <v>1</v>
      </c>
      <c r="G115" s="242">
        <v>428.05</v>
      </c>
      <c r="H115" s="242">
        <f t="shared" si="16"/>
        <v>539.34</v>
      </c>
      <c r="I115" s="242">
        <f t="shared" si="17"/>
        <v>539.34</v>
      </c>
      <c r="J115" s="243">
        <f t="shared" si="18"/>
        <v>7.6151259381773326E-4</v>
      </c>
      <c r="K115" s="248">
        <f t="shared" si="14"/>
        <v>691224.87000000023</v>
      </c>
      <c r="L115" s="247">
        <f t="shared" si="15"/>
        <v>0.97596403690626599</v>
      </c>
      <c r="M115" s="273" t="str">
        <f t="shared" si="11"/>
        <v>C</v>
      </c>
    </row>
    <row r="116" spans="1:23" s="129" customFormat="1" ht="18" customHeight="1">
      <c r="B116" s="240" t="s">
        <v>946</v>
      </c>
      <c r="C116" s="240">
        <v>91973</v>
      </c>
      <c r="D116" s="241" t="s">
        <v>675</v>
      </c>
      <c r="E116" s="277" t="s">
        <v>251</v>
      </c>
      <c r="F116" s="242">
        <v>4</v>
      </c>
      <c r="G116" s="242">
        <v>106.37</v>
      </c>
      <c r="H116" s="242">
        <f t="shared" si="16"/>
        <v>134.03</v>
      </c>
      <c r="I116" s="242">
        <f t="shared" si="17"/>
        <v>536.12</v>
      </c>
      <c r="J116" s="243">
        <f t="shared" si="18"/>
        <v>7.5696616567946589E-4</v>
      </c>
      <c r="K116" s="248">
        <f t="shared" si="14"/>
        <v>691760.99000000022</v>
      </c>
      <c r="L116" s="247">
        <f t="shared" si="15"/>
        <v>0.97672100307194543</v>
      </c>
      <c r="M116" s="273" t="str">
        <f t="shared" si="11"/>
        <v>C</v>
      </c>
    </row>
    <row r="117" spans="1:23" s="129" customFormat="1" ht="18" customHeight="1">
      <c r="B117" s="240" t="s">
        <v>1039</v>
      </c>
      <c r="C117" s="240">
        <v>92761</v>
      </c>
      <c r="D117" s="241" t="s">
        <v>811</v>
      </c>
      <c r="E117" s="277" t="s">
        <v>88</v>
      </c>
      <c r="F117" s="242">
        <v>35</v>
      </c>
      <c r="G117" s="242">
        <v>11.74</v>
      </c>
      <c r="H117" s="242">
        <f t="shared" si="16"/>
        <v>14.79</v>
      </c>
      <c r="I117" s="242">
        <f t="shared" si="17"/>
        <v>517.65</v>
      </c>
      <c r="J117" s="243">
        <f t="shared" si="18"/>
        <v>7.3088774092362806E-4</v>
      </c>
      <c r="K117" s="248">
        <f t="shared" si="14"/>
        <v>692278.64000000025</v>
      </c>
      <c r="L117" s="247">
        <f t="shared" si="15"/>
        <v>0.9774518908128691</v>
      </c>
      <c r="M117" s="273" t="str">
        <f t="shared" si="11"/>
        <v>C</v>
      </c>
    </row>
    <row r="118" spans="1:23" s="129" customFormat="1" ht="18" customHeight="1">
      <c r="B118" s="240" t="s">
        <v>1097</v>
      </c>
      <c r="C118" s="240">
        <v>91834</v>
      </c>
      <c r="D118" s="241" t="s">
        <v>779</v>
      </c>
      <c r="E118" s="277" t="s">
        <v>43</v>
      </c>
      <c r="F118" s="242">
        <v>20</v>
      </c>
      <c r="G118" s="242">
        <v>20.34</v>
      </c>
      <c r="H118" s="242">
        <f t="shared" si="16"/>
        <v>25.63</v>
      </c>
      <c r="I118" s="242">
        <f t="shared" si="17"/>
        <v>512.6</v>
      </c>
      <c r="J118" s="243">
        <f t="shared" si="18"/>
        <v>7.2375747319125235E-4</v>
      </c>
      <c r="K118" s="248">
        <f t="shared" si="14"/>
        <v>692791.24000000022</v>
      </c>
      <c r="L118" s="247">
        <f t="shared" si="15"/>
        <v>0.9781756482860603</v>
      </c>
      <c r="M118" s="273" t="str">
        <f t="shared" si="11"/>
        <v>C</v>
      </c>
    </row>
    <row r="119" spans="1:23" s="129" customFormat="1" ht="18" customHeight="1">
      <c r="B119" s="240" t="s">
        <v>940</v>
      </c>
      <c r="C119" s="240">
        <v>98110</v>
      </c>
      <c r="D119" s="241" t="s">
        <v>674</v>
      </c>
      <c r="E119" s="277" t="s">
        <v>72</v>
      </c>
      <c r="F119" s="242">
        <v>1</v>
      </c>
      <c r="G119" s="242">
        <v>405.92</v>
      </c>
      <c r="H119" s="242">
        <f t="shared" si="16"/>
        <v>511.46</v>
      </c>
      <c r="I119" s="242">
        <f t="shared" si="17"/>
        <v>511.46</v>
      </c>
      <c r="J119" s="243">
        <f t="shared" si="18"/>
        <v>7.2214786819820118E-4</v>
      </c>
      <c r="K119" s="248">
        <f t="shared" si="14"/>
        <v>693302.70000000019</v>
      </c>
      <c r="L119" s="247">
        <f t="shared" si="15"/>
        <v>0.97889779615425854</v>
      </c>
      <c r="M119" s="273" t="str">
        <f t="shared" si="11"/>
        <v>C</v>
      </c>
    </row>
    <row r="120" spans="1:23" s="129" customFormat="1" ht="18" customHeight="1">
      <c r="B120" s="240" t="s">
        <v>220</v>
      </c>
      <c r="C120" s="240">
        <v>91929</v>
      </c>
      <c r="D120" s="241" t="s">
        <v>287</v>
      </c>
      <c r="E120" s="277" t="s">
        <v>43</v>
      </c>
      <c r="F120" s="242">
        <v>54.300000000000004</v>
      </c>
      <c r="G120" s="242">
        <v>7.33</v>
      </c>
      <c r="H120" s="242">
        <f t="shared" si="16"/>
        <v>9.24</v>
      </c>
      <c r="I120" s="242">
        <f t="shared" si="17"/>
        <v>501.73</v>
      </c>
      <c r="J120" s="243">
        <f t="shared" si="18"/>
        <v>7.084097483890891E-4</v>
      </c>
      <c r="K120" s="248">
        <f t="shared" si="14"/>
        <v>693804.43000000017</v>
      </c>
      <c r="L120" s="247">
        <f t="shared" si="15"/>
        <v>0.97960620590264758</v>
      </c>
      <c r="M120" s="273" t="str">
        <f t="shared" si="11"/>
        <v>C</v>
      </c>
    </row>
    <row r="121" spans="1:23" s="129" customFormat="1" ht="18" customHeight="1">
      <c r="B121" s="240" t="s">
        <v>1042</v>
      </c>
      <c r="C121" s="240" t="str">
        <f>COMPOSIÇÕES!C78</f>
        <v>COMP014</v>
      </c>
      <c r="D121" s="241" t="s">
        <v>833</v>
      </c>
      <c r="E121" s="277" t="s">
        <v>44</v>
      </c>
      <c r="F121" s="242">
        <v>0.63971999999999996</v>
      </c>
      <c r="G121" s="242">
        <v>615.4</v>
      </c>
      <c r="H121" s="242">
        <f t="shared" si="16"/>
        <v>775.4</v>
      </c>
      <c r="I121" s="242">
        <f t="shared" si="17"/>
        <v>496.04</v>
      </c>
      <c r="J121" s="243">
        <f t="shared" si="18"/>
        <v>7.0037584276587753E-4</v>
      </c>
      <c r="K121" s="248">
        <f t="shared" si="14"/>
        <v>694300.4700000002</v>
      </c>
      <c r="L121" s="247">
        <f t="shared" si="15"/>
        <v>0.98030658174541341</v>
      </c>
      <c r="M121" s="273" t="str">
        <f t="shared" si="11"/>
        <v>C</v>
      </c>
    </row>
    <row r="122" spans="1:23" s="129" customFormat="1" ht="18" customHeight="1">
      <c r="B122" s="240" t="s">
        <v>327</v>
      </c>
      <c r="C122" s="240" t="s">
        <v>80</v>
      </c>
      <c r="D122" s="241" t="s">
        <v>325</v>
      </c>
      <c r="E122" s="277" t="s">
        <v>251</v>
      </c>
      <c r="F122" s="242">
        <v>1</v>
      </c>
      <c r="G122" s="242">
        <v>383.68999999999994</v>
      </c>
      <c r="H122" s="242">
        <f t="shared" si="16"/>
        <v>483.45</v>
      </c>
      <c r="I122" s="242">
        <f t="shared" si="17"/>
        <v>483.45</v>
      </c>
      <c r="J122" s="243">
        <f t="shared" si="18"/>
        <v>6.8259959113209313E-4</v>
      </c>
      <c r="K122" s="248">
        <f t="shared" si="14"/>
        <v>694783.92000000016</v>
      </c>
      <c r="L122" s="247">
        <f t="shared" si="15"/>
        <v>0.98098918133654545</v>
      </c>
      <c r="M122" s="273" t="str">
        <f t="shared" si="11"/>
        <v>C</v>
      </c>
    </row>
    <row r="123" spans="1:23" s="129" customFormat="1" ht="18" customHeight="1">
      <c r="A123" s="23"/>
      <c r="B123" s="240" t="s">
        <v>583</v>
      </c>
      <c r="C123" s="240">
        <v>98307</v>
      </c>
      <c r="D123" s="241" t="s">
        <v>550</v>
      </c>
      <c r="E123" s="277" t="s">
        <v>251</v>
      </c>
      <c r="F123" s="242">
        <v>8</v>
      </c>
      <c r="G123" s="242">
        <v>45.98</v>
      </c>
      <c r="H123" s="242">
        <f t="shared" si="16"/>
        <v>57.93</v>
      </c>
      <c r="I123" s="242">
        <f t="shared" si="17"/>
        <v>463.44</v>
      </c>
      <c r="J123" s="243">
        <f t="shared" si="18"/>
        <v>6.5434678770143184E-4</v>
      </c>
      <c r="K123" s="248">
        <f t="shared" si="14"/>
        <v>695247.3600000001</v>
      </c>
      <c r="L123" s="247">
        <f t="shared" si="15"/>
        <v>0.98164352812424682</v>
      </c>
      <c r="M123" s="273" t="str">
        <f t="shared" si="11"/>
        <v>C</v>
      </c>
    </row>
    <row r="124" spans="1:23" s="129" customFormat="1" ht="18" customHeight="1">
      <c r="B124" s="240" t="s">
        <v>589</v>
      </c>
      <c r="C124" s="240" t="s">
        <v>455</v>
      </c>
      <c r="D124" s="241" t="s">
        <v>456</v>
      </c>
      <c r="E124" s="277" t="s">
        <v>43</v>
      </c>
      <c r="F124" s="242">
        <v>15</v>
      </c>
      <c r="G124" s="242">
        <v>24.11</v>
      </c>
      <c r="H124" s="242">
        <f t="shared" si="16"/>
        <v>30.38</v>
      </c>
      <c r="I124" s="242">
        <f t="shared" si="17"/>
        <v>455.7</v>
      </c>
      <c r="J124" s="243">
        <f t="shared" si="18"/>
        <v>6.4341841695913712E-4</v>
      </c>
      <c r="K124" s="248">
        <f t="shared" si="14"/>
        <v>695703.06</v>
      </c>
      <c r="L124" s="247">
        <f t="shared" si="15"/>
        <v>0.98228694654120596</v>
      </c>
      <c r="M124" s="273" t="str">
        <f t="shared" si="11"/>
        <v>C</v>
      </c>
    </row>
    <row r="125" spans="1:23" s="129" customFormat="1" ht="38.25" customHeight="1">
      <c r="B125" s="240" t="s">
        <v>329</v>
      </c>
      <c r="C125" s="240" t="s">
        <v>270</v>
      </c>
      <c r="D125" s="241" t="s">
        <v>272</v>
      </c>
      <c r="E125" s="277" t="s">
        <v>43</v>
      </c>
      <c r="F125" s="242">
        <v>16.71</v>
      </c>
      <c r="G125" s="242">
        <v>21.33</v>
      </c>
      <c r="H125" s="242">
        <f t="shared" si="16"/>
        <v>26.88</v>
      </c>
      <c r="I125" s="242">
        <f t="shared" si="17"/>
        <v>449.16</v>
      </c>
      <c r="J125" s="243">
        <f t="shared" si="18"/>
        <v>6.3418436726215947E-4</v>
      </c>
      <c r="K125" s="248">
        <f t="shared" si="14"/>
        <v>696152.22000000009</v>
      </c>
      <c r="L125" s="247">
        <f t="shared" si="15"/>
        <v>0.98292113090846811</v>
      </c>
      <c r="M125" s="273" t="str">
        <f t="shared" si="11"/>
        <v>C</v>
      </c>
    </row>
    <row r="126" spans="1:23" s="129" customFormat="1" ht="18" customHeight="1">
      <c r="B126" s="240" t="s">
        <v>372</v>
      </c>
      <c r="C126" s="240" t="s">
        <v>284</v>
      </c>
      <c r="D126" s="241" t="s">
        <v>252</v>
      </c>
      <c r="E126" s="277" t="s">
        <v>251</v>
      </c>
      <c r="F126" s="242">
        <v>4</v>
      </c>
      <c r="G126" s="242">
        <v>85.98</v>
      </c>
      <c r="H126" s="242">
        <f t="shared" si="16"/>
        <v>108.33</v>
      </c>
      <c r="I126" s="242">
        <f t="shared" si="17"/>
        <v>433.32</v>
      </c>
      <c r="J126" s="243">
        <f t="shared" si="18"/>
        <v>6.1181932946397476E-4</v>
      </c>
      <c r="K126" s="248">
        <f t="shared" si="14"/>
        <v>696585.54</v>
      </c>
      <c r="L126" s="247">
        <f t="shared" si="15"/>
        <v>0.98353295023793208</v>
      </c>
      <c r="M126" s="273" t="str">
        <f t="shared" si="11"/>
        <v>C</v>
      </c>
    </row>
    <row r="127" spans="1:23" s="129" customFormat="1" ht="18" customHeight="1">
      <c r="B127" s="240" t="s">
        <v>1047</v>
      </c>
      <c r="C127" s="240">
        <v>94231</v>
      </c>
      <c r="D127" s="241" t="s">
        <v>820</v>
      </c>
      <c r="E127" s="277" t="s">
        <v>43</v>
      </c>
      <c r="F127" s="242">
        <v>5.82</v>
      </c>
      <c r="G127" s="242">
        <v>54.56</v>
      </c>
      <c r="H127" s="242">
        <f t="shared" si="16"/>
        <v>68.75</v>
      </c>
      <c r="I127" s="242">
        <f t="shared" si="17"/>
        <v>400.13</v>
      </c>
      <c r="J127" s="243">
        <f t="shared" si="18"/>
        <v>5.6495723321891493E-4</v>
      </c>
      <c r="K127" s="248">
        <f t="shared" si="14"/>
        <v>696985.67</v>
      </c>
      <c r="L127" s="247">
        <f t="shared" si="15"/>
        <v>0.984097907471151</v>
      </c>
      <c r="M127" s="273" t="str">
        <f t="shared" si="11"/>
        <v>C</v>
      </c>
    </row>
    <row r="128" spans="1:23" s="129" customFormat="1" ht="18" customHeight="1">
      <c r="B128" s="240" t="s">
        <v>522</v>
      </c>
      <c r="C128" s="240" t="s">
        <v>542</v>
      </c>
      <c r="D128" s="241" t="s">
        <v>543</v>
      </c>
      <c r="E128" s="277" t="s">
        <v>251</v>
      </c>
      <c r="F128" s="242">
        <v>13</v>
      </c>
      <c r="G128" s="242">
        <v>23.54</v>
      </c>
      <c r="H128" s="242">
        <f t="shared" si="16"/>
        <v>29.66</v>
      </c>
      <c r="I128" s="242">
        <f t="shared" si="17"/>
        <v>385.58</v>
      </c>
      <c r="J128" s="243">
        <f t="shared" si="18"/>
        <v>5.4441359054444613E-4</v>
      </c>
      <c r="K128" s="248">
        <f t="shared" si="14"/>
        <v>697371.25</v>
      </c>
      <c r="L128" s="247">
        <f t="shared" si="15"/>
        <v>0.98464232106169547</v>
      </c>
      <c r="M128" s="273" t="str">
        <f t="shared" si="11"/>
        <v>C</v>
      </c>
    </row>
    <row r="129" spans="1:13" s="129" customFormat="1" ht="18" customHeight="1">
      <c r="A129" s="22"/>
      <c r="B129" s="240" t="s">
        <v>1031</v>
      </c>
      <c r="C129" s="240">
        <v>96543</v>
      </c>
      <c r="D129" s="241" t="s">
        <v>788</v>
      </c>
      <c r="E129" s="277" t="s">
        <v>88</v>
      </c>
      <c r="F129" s="242">
        <v>15</v>
      </c>
      <c r="G129" s="242">
        <v>20.399999999999999</v>
      </c>
      <c r="H129" s="242">
        <f t="shared" si="16"/>
        <v>25.7</v>
      </c>
      <c r="I129" s="242">
        <f t="shared" si="17"/>
        <v>385.5</v>
      </c>
      <c r="J129" s="243">
        <f t="shared" si="18"/>
        <v>5.4430063580809167E-4</v>
      </c>
      <c r="K129" s="248">
        <f t="shared" si="14"/>
        <v>697756.75</v>
      </c>
      <c r="L129" s="247">
        <f t="shared" si="15"/>
        <v>0.9851866216975036</v>
      </c>
      <c r="M129" s="273" t="str">
        <f t="shared" si="11"/>
        <v>C</v>
      </c>
    </row>
    <row r="130" spans="1:13" s="129" customFormat="1" ht="18" customHeight="1">
      <c r="B130" s="240" t="s">
        <v>1041</v>
      </c>
      <c r="C130" s="240" t="str">
        <f>COMPOSIÇÕES!C70</f>
        <v>COMP013</v>
      </c>
      <c r="D130" s="241" t="s">
        <v>822</v>
      </c>
      <c r="E130" s="277" t="s">
        <v>44</v>
      </c>
      <c r="F130" s="242">
        <v>0.504</v>
      </c>
      <c r="G130" s="242">
        <v>593.38999999999987</v>
      </c>
      <c r="H130" s="242">
        <f t="shared" ref="H130:H161" si="19">ROUND(G130*(1+$G$6),2)</f>
        <v>747.67</v>
      </c>
      <c r="I130" s="242">
        <f t="shared" si="17"/>
        <v>376.83</v>
      </c>
      <c r="J130" s="243">
        <f t="shared" si="18"/>
        <v>5.320591662556762E-4</v>
      </c>
      <c r="K130" s="248">
        <f t="shared" si="14"/>
        <v>698133.58</v>
      </c>
      <c r="L130" s="247">
        <f t="shared" si="15"/>
        <v>0.98571868086375924</v>
      </c>
      <c r="M130" s="273" t="str">
        <f t="shared" si="11"/>
        <v>C</v>
      </c>
    </row>
    <row r="131" spans="1:13" s="129" customFormat="1" ht="18" customHeight="1">
      <c r="B131" s="240" t="s">
        <v>231</v>
      </c>
      <c r="C131" s="240">
        <v>93662</v>
      </c>
      <c r="D131" s="241" t="s">
        <v>277</v>
      </c>
      <c r="E131" s="277" t="s">
        <v>72</v>
      </c>
      <c r="F131" s="242">
        <v>5</v>
      </c>
      <c r="G131" s="242">
        <v>59.54</v>
      </c>
      <c r="H131" s="242">
        <f t="shared" si="19"/>
        <v>75.02</v>
      </c>
      <c r="I131" s="242">
        <f t="shared" si="17"/>
        <v>375.1</v>
      </c>
      <c r="J131" s="243">
        <f t="shared" si="18"/>
        <v>5.2961652008201088E-4</v>
      </c>
      <c r="K131" s="248">
        <f t="shared" si="14"/>
        <v>698508.67999999993</v>
      </c>
      <c r="L131" s="247">
        <f t="shared" si="15"/>
        <v>0.98624829738384123</v>
      </c>
      <c r="M131" s="273" t="str">
        <f t="shared" si="11"/>
        <v>C</v>
      </c>
    </row>
    <row r="132" spans="1:13" s="129" customFormat="1" ht="18" customHeight="1">
      <c r="B132" s="240" t="s">
        <v>1038</v>
      </c>
      <c r="C132" s="240">
        <v>92759</v>
      </c>
      <c r="D132" s="241" t="s">
        <v>809</v>
      </c>
      <c r="E132" s="277" t="s">
        <v>88</v>
      </c>
      <c r="F132" s="242">
        <v>20</v>
      </c>
      <c r="G132" s="242">
        <v>13.84</v>
      </c>
      <c r="H132" s="242">
        <f t="shared" si="19"/>
        <v>17.440000000000001</v>
      </c>
      <c r="I132" s="242">
        <f t="shared" si="17"/>
        <v>348.8</v>
      </c>
      <c r="J132" s="243">
        <f t="shared" si="18"/>
        <v>4.9248265050547959E-4</v>
      </c>
      <c r="K132" s="248">
        <f t="shared" si="14"/>
        <v>698857.48</v>
      </c>
      <c r="L132" s="247">
        <f t="shared" si="15"/>
        <v>0.98674078003434673</v>
      </c>
      <c r="M132" s="273" t="str">
        <f t="shared" si="11"/>
        <v>C</v>
      </c>
    </row>
    <row r="133" spans="1:13" s="129" customFormat="1" ht="18" customHeight="1">
      <c r="B133" s="240" t="s">
        <v>594</v>
      </c>
      <c r="C133" s="240" t="s">
        <v>465</v>
      </c>
      <c r="D133" s="241" t="s">
        <v>466</v>
      </c>
      <c r="E133" s="277" t="s">
        <v>72</v>
      </c>
      <c r="F133" s="242">
        <v>10</v>
      </c>
      <c r="G133" s="242">
        <v>27.59</v>
      </c>
      <c r="H133" s="242">
        <f t="shared" si="19"/>
        <v>34.76</v>
      </c>
      <c r="I133" s="242">
        <f t="shared" si="17"/>
        <v>347.6</v>
      </c>
      <c r="J133" s="243">
        <f t="shared" si="18"/>
        <v>4.9078832946016253E-4</v>
      </c>
      <c r="K133" s="248">
        <f t="shared" si="14"/>
        <v>699205.08</v>
      </c>
      <c r="L133" s="247">
        <f t="shared" si="15"/>
        <v>0.98723156836380688</v>
      </c>
      <c r="M133" s="273" t="str">
        <f t="shared" si="11"/>
        <v>C</v>
      </c>
    </row>
    <row r="134" spans="1:13" s="129" customFormat="1" ht="18" customHeight="1">
      <c r="A134" s="23"/>
      <c r="B134" s="240" t="s">
        <v>1045</v>
      </c>
      <c r="C134" s="240">
        <v>92580</v>
      </c>
      <c r="D134" s="241" t="s">
        <v>818</v>
      </c>
      <c r="E134" s="277" t="s">
        <v>42</v>
      </c>
      <c r="F134" s="242">
        <v>5.7887999999999993</v>
      </c>
      <c r="G134" s="242">
        <v>47.48</v>
      </c>
      <c r="H134" s="242">
        <f t="shared" si="19"/>
        <v>59.82</v>
      </c>
      <c r="I134" s="242">
        <f t="shared" si="17"/>
        <v>346.29</v>
      </c>
      <c r="J134" s="243">
        <f t="shared" si="18"/>
        <v>4.8893869565235816E-4</v>
      </c>
      <c r="K134" s="248">
        <f t="shared" si="14"/>
        <v>699551.37</v>
      </c>
      <c r="L134" s="247">
        <f t="shared" si="15"/>
        <v>0.98772050705945924</v>
      </c>
      <c r="M134" s="273" t="str">
        <f t="shared" si="11"/>
        <v>C</v>
      </c>
    </row>
    <row r="135" spans="1:13" s="129" customFormat="1" ht="18" customHeight="1">
      <c r="B135" s="240" t="s">
        <v>1025</v>
      </c>
      <c r="C135" s="240">
        <v>96523</v>
      </c>
      <c r="D135" s="241" t="s">
        <v>783</v>
      </c>
      <c r="E135" s="277" t="s">
        <v>44</v>
      </c>
      <c r="F135" s="242">
        <v>2.4</v>
      </c>
      <c r="G135" s="242">
        <v>111.02</v>
      </c>
      <c r="H135" s="242">
        <f t="shared" si="19"/>
        <v>139.88999999999999</v>
      </c>
      <c r="I135" s="242">
        <f t="shared" si="17"/>
        <v>335.74</v>
      </c>
      <c r="J135" s="243">
        <f t="shared" si="18"/>
        <v>4.7404278979561268E-4</v>
      </c>
      <c r="K135" s="248">
        <f t="shared" si="14"/>
        <v>699887.11</v>
      </c>
      <c r="L135" s="247">
        <f t="shared" si="15"/>
        <v>0.98819454984925481</v>
      </c>
      <c r="M135" s="273" t="str">
        <f t="shared" si="11"/>
        <v>C</v>
      </c>
    </row>
    <row r="136" spans="1:13" s="129" customFormat="1" ht="18" customHeight="1">
      <c r="B136" s="240" t="s">
        <v>579</v>
      </c>
      <c r="C136" s="240">
        <v>20231</v>
      </c>
      <c r="D136" s="241" t="s">
        <v>486</v>
      </c>
      <c r="E136" s="277" t="s">
        <v>448</v>
      </c>
      <c r="F136" s="242">
        <v>3.78</v>
      </c>
      <c r="G136" s="242">
        <v>69.209999999999994</v>
      </c>
      <c r="H136" s="242">
        <f t="shared" si="19"/>
        <v>87.2</v>
      </c>
      <c r="I136" s="242">
        <f t="shared" si="17"/>
        <v>329.62</v>
      </c>
      <c r="J136" s="243">
        <f t="shared" si="18"/>
        <v>4.6540175246449593E-4</v>
      </c>
      <c r="K136" s="248">
        <f t="shared" si="14"/>
        <v>700216.73</v>
      </c>
      <c r="L136" s="247">
        <f t="shared" si="15"/>
        <v>0.98865995160171927</v>
      </c>
      <c r="M136" s="273" t="str">
        <f t="shared" si="11"/>
        <v>C</v>
      </c>
    </row>
    <row r="137" spans="1:13" s="129" customFormat="1" ht="18" customHeight="1">
      <c r="B137" s="240" t="s">
        <v>1044</v>
      </c>
      <c r="C137" s="240">
        <v>101792</v>
      </c>
      <c r="D137" s="241" t="s">
        <v>843</v>
      </c>
      <c r="E137" s="277" t="s">
        <v>44</v>
      </c>
      <c r="F137" s="242">
        <v>14</v>
      </c>
      <c r="G137" s="242">
        <v>17.37</v>
      </c>
      <c r="H137" s="242">
        <f t="shared" si="19"/>
        <v>21.89</v>
      </c>
      <c r="I137" s="242">
        <f t="shared" si="17"/>
        <v>306.45999999999998</v>
      </c>
      <c r="J137" s="243">
        <f t="shared" si="18"/>
        <v>4.3270135628987745E-4</v>
      </c>
      <c r="K137" s="248">
        <f t="shared" si="14"/>
        <v>700523.19</v>
      </c>
      <c r="L137" s="247">
        <f t="shared" si="15"/>
        <v>0.98909265295800919</v>
      </c>
      <c r="M137" s="273" t="str">
        <f t="shared" ref="M137:M188" si="20">IF(L137&lt;80%,"A",IF(L137&lt;95%,"B","C"))</f>
        <v>C</v>
      </c>
    </row>
    <row r="138" spans="1:13" s="129" customFormat="1" ht="18" customHeight="1">
      <c r="B138" s="240" t="s">
        <v>518</v>
      </c>
      <c r="C138" s="240">
        <v>89987</v>
      </c>
      <c r="D138" s="241" t="s">
        <v>453</v>
      </c>
      <c r="E138" s="277" t="s">
        <v>72</v>
      </c>
      <c r="F138" s="242">
        <v>3</v>
      </c>
      <c r="G138" s="242">
        <v>80.849999999999994</v>
      </c>
      <c r="H138" s="242">
        <f t="shared" si="19"/>
        <v>101.87</v>
      </c>
      <c r="I138" s="242">
        <f t="shared" si="17"/>
        <v>305.61</v>
      </c>
      <c r="J138" s="243">
        <f t="shared" si="18"/>
        <v>4.3150121221611126E-4</v>
      </c>
      <c r="K138" s="248">
        <f t="shared" si="14"/>
        <v>700828.79999999993</v>
      </c>
      <c r="L138" s="247">
        <f t="shared" si="15"/>
        <v>0.98952415417022532</v>
      </c>
      <c r="M138" s="273" t="str">
        <f t="shared" si="20"/>
        <v>C</v>
      </c>
    </row>
    <row r="139" spans="1:13" s="129" customFormat="1" ht="18" customHeight="1">
      <c r="B139" s="240" t="s">
        <v>1030</v>
      </c>
      <c r="C139" s="240">
        <v>96555</v>
      </c>
      <c r="D139" s="241" t="s">
        <v>787</v>
      </c>
      <c r="E139" s="277" t="s">
        <v>44</v>
      </c>
      <c r="F139" s="242">
        <v>0.37529999999999997</v>
      </c>
      <c r="G139" s="242">
        <v>644.1</v>
      </c>
      <c r="H139" s="242">
        <f t="shared" si="19"/>
        <v>811.57</v>
      </c>
      <c r="I139" s="242">
        <f t="shared" si="17"/>
        <v>304.58</v>
      </c>
      <c r="J139" s="243">
        <f t="shared" si="18"/>
        <v>4.3004691998554744E-4</v>
      </c>
      <c r="K139" s="248">
        <f t="shared" si="14"/>
        <v>701133.37999999989</v>
      </c>
      <c r="L139" s="247">
        <f t="shared" si="15"/>
        <v>0.98995420109021082</v>
      </c>
      <c r="M139" s="273" t="str">
        <f t="shared" si="20"/>
        <v>C</v>
      </c>
    </row>
    <row r="140" spans="1:13" s="129" customFormat="1" ht="18" customHeight="1">
      <c r="B140" s="240" t="s">
        <v>528</v>
      </c>
      <c r="C140" s="240">
        <v>92027</v>
      </c>
      <c r="D140" s="241" t="s">
        <v>540</v>
      </c>
      <c r="E140" s="277" t="s">
        <v>251</v>
      </c>
      <c r="F140" s="242">
        <v>3</v>
      </c>
      <c r="G140" s="242">
        <v>74.94</v>
      </c>
      <c r="H140" s="242">
        <f t="shared" si="19"/>
        <v>94.42</v>
      </c>
      <c r="I140" s="242">
        <f t="shared" si="17"/>
        <v>283.26</v>
      </c>
      <c r="J140" s="243">
        <f t="shared" si="18"/>
        <v>3.9994448274708179E-4</v>
      </c>
      <c r="K140" s="248">
        <f t="shared" si="14"/>
        <v>701416.6399999999</v>
      </c>
      <c r="L140" s="247">
        <f t="shared" si="15"/>
        <v>0.99035414557295787</v>
      </c>
      <c r="M140" s="273" t="str">
        <f t="shared" si="20"/>
        <v>C</v>
      </c>
    </row>
    <row r="141" spans="1:13" s="129" customFormat="1" ht="18" customHeight="1">
      <c r="B141" s="240" t="s">
        <v>580</v>
      </c>
      <c r="C141" s="240" t="s">
        <v>487</v>
      </c>
      <c r="D141" s="241" t="s">
        <v>485</v>
      </c>
      <c r="E141" s="277" t="s">
        <v>72</v>
      </c>
      <c r="F141" s="242">
        <v>1</v>
      </c>
      <c r="G141" s="242">
        <v>217.9</v>
      </c>
      <c r="H141" s="242">
        <f t="shared" si="19"/>
        <v>274.55</v>
      </c>
      <c r="I141" s="242">
        <f t="shared" ref="I141:I172" si="21">ROUND(F141*H141,2)</f>
        <v>274.55</v>
      </c>
      <c r="J141" s="243">
        <f t="shared" ref="J141:J172" si="22">I141/$I$190</f>
        <v>3.8764653582648914E-4</v>
      </c>
      <c r="K141" s="248">
        <f t="shared" si="14"/>
        <v>701691.19</v>
      </c>
      <c r="L141" s="247">
        <f t="shared" si="15"/>
        <v>0.99074179210878432</v>
      </c>
      <c r="M141" s="273" t="str">
        <f t="shared" si="20"/>
        <v>C</v>
      </c>
    </row>
    <row r="142" spans="1:13" s="129" customFormat="1" ht="30.75" customHeight="1">
      <c r="B142" s="240" t="s">
        <v>244</v>
      </c>
      <c r="C142" s="240" t="s">
        <v>250</v>
      </c>
      <c r="D142" s="241" t="s">
        <v>249</v>
      </c>
      <c r="E142" s="277" t="s">
        <v>251</v>
      </c>
      <c r="F142" s="242">
        <v>1</v>
      </c>
      <c r="G142" s="242">
        <v>211.45</v>
      </c>
      <c r="H142" s="242">
        <f t="shared" si="19"/>
        <v>266.43</v>
      </c>
      <c r="I142" s="242">
        <f t="shared" si="21"/>
        <v>266.43</v>
      </c>
      <c r="J142" s="243">
        <f t="shared" si="22"/>
        <v>3.7618163008651064E-4</v>
      </c>
      <c r="K142" s="248">
        <f t="shared" si="14"/>
        <v>701957.62</v>
      </c>
      <c r="L142" s="247">
        <f t="shared" si="15"/>
        <v>0.99111797373887078</v>
      </c>
      <c r="M142" s="273" t="str">
        <f t="shared" si="20"/>
        <v>C</v>
      </c>
    </row>
    <row r="143" spans="1:13" s="129" customFormat="1" ht="18" customHeight="1">
      <c r="B143" s="240" t="s">
        <v>371</v>
      </c>
      <c r="C143" s="240" t="s">
        <v>324</v>
      </c>
      <c r="D143" s="241" t="s">
        <v>323</v>
      </c>
      <c r="E143" s="277" t="s">
        <v>251</v>
      </c>
      <c r="F143" s="242">
        <v>1</v>
      </c>
      <c r="G143" s="242">
        <v>201.75</v>
      </c>
      <c r="H143" s="242">
        <f t="shared" si="19"/>
        <v>254.21</v>
      </c>
      <c r="I143" s="242">
        <f t="shared" si="21"/>
        <v>254.21</v>
      </c>
      <c r="J143" s="243">
        <f t="shared" si="22"/>
        <v>3.5892779410836569E-4</v>
      </c>
      <c r="K143" s="248">
        <f t="shared" ref="K143:K188" si="23">I143+K142</f>
        <v>702211.83</v>
      </c>
      <c r="L143" s="247">
        <f t="shared" ref="L143:L188" si="24">J143+L142</f>
        <v>0.99147690153297918</v>
      </c>
      <c r="M143" s="273" t="str">
        <f t="shared" si="20"/>
        <v>C</v>
      </c>
    </row>
    <row r="144" spans="1:13" s="129" customFormat="1" ht="18" customHeight="1">
      <c r="B144" s="240" t="s">
        <v>600</v>
      </c>
      <c r="C144" s="240" t="s">
        <v>477</v>
      </c>
      <c r="D144" s="241" t="s">
        <v>534</v>
      </c>
      <c r="E144" s="277" t="s">
        <v>44</v>
      </c>
      <c r="F144" s="242">
        <v>0.08</v>
      </c>
      <c r="G144" s="242">
        <v>2454.52</v>
      </c>
      <c r="H144" s="242">
        <f t="shared" si="19"/>
        <v>3092.7</v>
      </c>
      <c r="I144" s="242">
        <f t="shared" si="21"/>
        <v>247.42</v>
      </c>
      <c r="J144" s="243">
        <f t="shared" si="22"/>
        <v>3.4934076086028023E-4</v>
      </c>
      <c r="K144" s="248">
        <f t="shared" si="23"/>
        <v>702459.25</v>
      </c>
      <c r="L144" s="247">
        <f t="shared" si="24"/>
        <v>0.99182624229383942</v>
      </c>
      <c r="M144" s="273" t="str">
        <f t="shared" si="20"/>
        <v>C</v>
      </c>
    </row>
    <row r="145" spans="1:13" s="129" customFormat="1" ht="18" customHeight="1">
      <c r="B145" s="240" t="s">
        <v>634</v>
      </c>
      <c r="C145" s="240">
        <v>21548</v>
      </c>
      <c r="D145" s="241" t="s">
        <v>414</v>
      </c>
      <c r="E145" s="277" t="s">
        <v>251</v>
      </c>
      <c r="F145" s="242">
        <v>100</v>
      </c>
      <c r="G145" s="242">
        <v>1.93</v>
      </c>
      <c r="H145" s="242">
        <f t="shared" si="19"/>
        <v>2.4300000000000002</v>
      </c>
      <c r="I145" s="242">
        <f t="shared" si="21"/>
        <v>243</v>
      </c>
      <c r="J145" s="243">
        <f t="shared" si="22"/>
        <v>3.431000116766959E-4</v>
      </c>
      <c r="K145" s="248">
        <f t="shared" si="23"/>
        <v>702702.25</v>
      </c>
      <c r="L145" s="247">
        <f t="shared" si="24"/>
        <v>0.99216934230551612</v>
      </c>
      <c r="M145" s="273" t="str">
        <f t="shared" si="20"/>
        <v>C</v>
      </c>
    </row>
    <row r="146" spans="1:13" s="129" customFormat="1" ht="18" customHeight="1">
      <c r="A146" s="22"/>
      <c r="B146" s="240" t="s">
        <v>233</v>
      </c>
      <c r="C146" s="240">
        <v>39465</v>
      </c>
      <c r="D146" s="241" t="s">
        <v>125</v>
      </c>
      <c r="E146" s="277" t="s">
        <v>85</v>
      </c>
      <c r="F146" s="242">
        <v>3</v>
      </c>
      <c r="G146" s="242">
        <v>62.97</v>
      </c>
      <c r="H146" s="242">
        <f t="shared" si="19"/>
        <v>79.34</v>
      </c>
      <c r="I146" s="242">
        <f t="shared" si="21"/>
        <v>238.02</v>
      </c>
      <c r="J146" s="243">
        <f t="shared" si="22"/>
        <v>3.3606857933863031E-4</v>
      </c>
      <c r="K146" s="248">
        <f t="shared" si="23"/>
        <v>702940.27</v>
      </c>
      <c r="L146" s="247">
        <f t="shared" si="24"/>
        <v>0.99250541088485478</v>
      </c>
      <c r="M146" s="273" t="str">
        <f t="shared" si="20"/>
        <v>C</v>
      </c>
    </row>
    <row r="147" spans="1:13" s="129" customFormat="1" ht="18" customHeight="1">
      <c r="B147" s="240" t="s">
        <v>246</v>
      </c>
      <c r="C147" s="240">
        <v>37556</v>
      </c>
      <c r="D147" s="241" t="s">
        <v>254</v>
      </c>
      <c r="E147" s="277" t="s">
        <v>251</v>
      </c>
      <c r="F147" s="242">
        <v>6</v>
      </c>
      <c r="G147" s="242">
        <v>29.95</v>
      </c>
      <c r="H147" s="242">
        <f t="shared" si="19"/>
        <v>37.74</v>
      </c>
      <c r="I147" s="242">
        <f t="shared" si="21"/>
        <v>226.44</v>
      </c>
      <c r="J147" s="243">
        <f t="shared" si="22"/>
        <v>3.1971838125132107E-4</v>
      </c>
      <c r="K147" s="248">
        <f t="shared" si="23"/>
        <v>703166.71</v>
      </c>
      <c r="L147" s="247">
        <f t="shared" si="24"/>
        <v>0.99282512926610611</v>
      </c>
      <c r="M147" s="273" t="str">
        <f t="shared" si="20"/>
        <v>C</v>
      </c>
    </row>
    <row r="148" spans="1:13" s="129" customFormat="1" ht="18" customHeight="1">
      <c r="B148" s="240" t="s">
        <v>1107</v>
      </c>
      <c r="C148" s="240">
        <v>86914</v>
      </c>
      <c r="D148" s="241" t="s">
        <v>774</v>
      </c>
      <c r="E148" s="277" t="s">
        <v>251</v>
      </c>
      <c r="F148" s="242">
        <v>2</v>
      </c>
      <c r="G148" s="242">
        <v>88.23</v>
      </c>
      <c r="H148" s="242">
        <f t="shared" si="19"/>
        <v>111.17</v>
      </c>
      <c r="I148" s="242">
        <f t="shared" si="21"/>
        <v>222.34</v>
      </c>
      <c r="J148" s="243">
        <f t="shared" si="22"/>
        <v>3.1392945101315462E-4</v>
      </c>
      <c r="K148" s="248">
        <f t="shared" si="23"/>
        <v>703389.04999999993</v>
      </c>
      <c r="L148" s="247">
        <f t="shared" si="24"/>
        <v>0.99313905871711927</v>
      </c>
      <c r="M148" s="273" t="str">
        <f t="shared" si="20"/>
        <v>C</v>
      </c>
    </row>
    <row r="149" spans="1:13" s="129" customFormat="1" ht="24.75" customHeight="1">
      <c r="A149" s="23"/>
      <c r="B149" s="240" t="s">
        <v>974</v>
      </c>
      <c r="C149" s="240" t="s">
        <v>875</v>
      </c>
      <c r="D149" s="241" t="s">
        <v>874</v>
      </c>
      <c r="E149" s="277" t="s">
        <v>251</v>
      </c>
      <c r="F149" s="242">
        <v>2</v>
      </c>
      <c r="G149" s="242">
        <v>85.02</v>
      </c>
      <c r="H149" s="242">
        <f t="shared" si="19"/>
        <v>107.13</v>
      </c>
      <c r="I149" s="242">
        <f t="shared" si="21"/>
        <v>214.26</v>
      </c>
      <c r="J149" s="243">
        <f t="shared" si="22"/>
        <v>3.0252102264135335E-4</v>
      </c>
      <c r="K149" s="248">
        <f t="shared" si="23"/>
        <v>703603.30999999994</v>
      </c>
      <c r="L149" s="247">
        <f t="shared" si="24"/>
        <v>0.99344157973976066</v>
      </c>
      <c r="M149" s="273" t="str">
        <f t="shared" si="20"/>
        <v>C</v>
      </c>
    </row>
    <row r="150" spans="1:13" s="129" customFormat="1" ht="18" customHeight="1">
      <c r="B150" s="240" t="s">
        <v>262</v>
      </c>
      <c r="C150" s="240">
        <v>89481</v>
      </c>
      <c r="D150" s="241" t="s">
        <v>863</v>
      </c>
      <c r="E150" s="277" t="s">
        <v>72</v>
      </c>
      <c r="F150" s="242">
        <v>29</v>
      </c>
      <c r="G150" s="242">
        <v>5.75</v>
      </c>
      <c r="H150" s="242">
        <f t="shared" si="19"/>
        <v>7.25</v>
      </c>
      <c r="I150" s="242">
        <f t="shared" si="21"/>
        <v>210.25</v>
      </c>
      <c r="J150" s="243">
        <f t="shared" si="22"/>
        <v>2.9685916648158564E-4</v>
      </c>
      <c r="K150" s="248">
        <f t="shared" si="23"/>
        <v>703813.55999999994</v>
      </c>
      <c r="L150" s="247">
        <f t="shared" si="24"/>
        <v>0.99373843890624225</v>
      </c>
      <c r="M150" s="273" t="str">
        <f t="shared" si="20"/>
        <v>C</v>
      </c>
    </row>
    <row r="151" spans="1:13" s="129" customFormat="1" ht="18" customHeight="1">
      <c r="B151" s="240" t="s">
        <v>229</v>
      </c>
      <c r="C151" s="240">
        <v>39457</v>
      </c>
      <c r="D151" s="241" t="s">
        <v>278</v>
      </c>
      <c r="E151" s="277" t="s">
        <v>251</v>
      </c>
      <c r="F151" s="242">
        <v>1</v>
      </c>
      <c r="G151" s="242">
        <v>161.07</v>
      </c>
      <c r="H151" s="242">
        <f t="shared" si="19"/>
        <v>202.95</v>
      </c>
      <c r="I151" s="242">
        <f t="shared" si="21"/>
        <v>202.95</v>
      </c>
      <c r="J151" s="243">
        <f t="shared" si="22"/>
        <v>2.8655204678924043E-4</v>
      </c>
      <c r="K151" s="248">
        <f t="shared" si="23"/>
        <v>704016.50999999989</v>
      </c>
      <c r="L151" s="247">
        <f t="shared" si="24"/>
        <v>0.99402499095303154</v>
      </c>
      <c r="M151" s="273" t="str">
        <f t="shared" si="20"/>
        <v>C</v>
      </c>
    </row>
    <row r="152" spans="1:13" s="129" customFormat="1" ht="15.75" customHeight="1">
      <c r="B152" s="240" t="s">
        <v>968</v>
      </c>
      <c r="C152" s="240">
        <v>91959</v>
      </c>
      <c r="D152" s="241" t="s">
        <v>880</v>
      </c>
      <c r="E152" s="277" t="s">
        <v>251</v>
      </c>
      <c r="F152" s="242">
        <v>4</v>
      </c>
      <c r="G152" s="242">
        <v>38.799999999999997</v>
      </c>
      <c r="H152" s="242">
        <f t="shared" si="19"/>
        <v>48.89</v>
      </c>
      <c r="I152" s="242">
        <f t="shared" si="21"/>
        <v>195.56</v>
      </c>
      <c r="J152" s="243">
        <f t="shared" si="22"/>
        <v>2.7611785301849654E-4</v>
      </c>
      <c r="K152" s="248">
        <f t="shared" si="23"/>
        <v>704212.07</v>
      </c>
      <c r="L152" s="247">
        <f t="shared" si="24"/>
        <v>0.99430110880605005</v>
      </c>
      <c r="M152" s="273" t="str">
        <f t="shared" si="20"/>
        <v>C</v>
      </c>
    </row>
    <row r="153" spans="1:13" s="129" customFormat="1" ht="15.75" customHeight="1">
      <c r="A153" s="234"/>
      <c r="B153" s="240" t="s">
        <v>509</v>
      </c>
      <c r="C153" s="240">
        <v>86901</v>
      </c>
      <c r="D153" s="241" t="s">
        <v>441</v>
      </c>
      <c r="E153" s="277" t="s">
        <v>72</v>
      </c>
      <c r="F153" s="242">
        <v>1</v>
      </c>
      <c r="G153" s="242">
        <v>153.9</v>
      </c>
      <c r="H153" s="242">
        <f t="shared" si="19"/>
        <v>193.91</v>
      </c>
      <c r="I153" s="242">
        <f t="shared" si="21"/>
        <v>193.91</v>
      </c>
      <c r="J153" s="243">
        <f t="shared" si="22"/>
        <v>2.7378816158118562E-4</v>
      </c>
      <c r="K153" s="248">
        <f t="shared" si="23"/>
        <v>704405.98</v>
      </c>
      <c r="L153" s="247">
        <f t="shared" si="24"/>
        <v>0.99457489696763124</v>
      </c>
      <c r="M153" s="273" t="str">
        <f t="shared" si="20"/>
        <v>C</v>
      </c>
    </row>
    <row r="154" spans="1:13" s="129" customFormat="1" ht="18" customHeight="1">
      <c r="A154" s="23"/>
      <c r="B154" s="240" t="s">
        <v>253</v>
      </c>
      <c r="C154" s="240">
        <v>37560</v>
      </c>
      <c r="D154" s="241" t="s">
        <v>255</v>
      </c>
      <c r="E154" s="277" t="s">
        <v>251</v>
      </c>
      <c r="F154" s="242">
        <v>3</v>
      </c>
      <c r="G154" s="242">
        <v>50.99</v>
      </c>
      <c r="H154" s="242">
        <f t="shared" si="19"/>
        <v>64.25</v>
      </c>
      <c r="I154" s="242">
        <f t="shared" si="21"/>
        <v>192.75</v>
      </c>
      <c r="J154" s="243">
        <f t="shared" si="22"/>
        <v>2.7215031790404584E-4</v>
      </c>
      <c r="K154" s="248">
        <f t="shared" si="23"/>
        <v>704598.73</v>
      </c>
      <c r="L154" s="247">
        <f t="shared" si="24"/>
        <v>0.9948470472855353</v>
      </c>
      <c r="M154" s="273" t="str">
        <f t="shared" si="20"/>
        <v>C</v>
      </c>
    </row>
    <row r="155" spans="1:13" s="129" customFormat="1" ht="18" customHeight="1">
      <c r="B155" s="240" t="s">
        <v>975</v>
      </c>
      <c r="C155" s="240" t="s">
        <v>180</v>
      </c>
      <c r="D155" s="241" t="s">
        <v>877</v>
      </c>
      <c r="E155" s="277" t="s">
        <v>251</v>
      </c>
      <c r="F155" s="242">
        <v>8</v>
      </c>
      <c r="G155" s="242">
        <v>18.100000000000001</v>
      </c>
      <c r="H155" s="242">
        <f t="shared" si="19"/>
        <v>22.81</v>
      </c>
      <c r="I155" s="242">
        <f t="shared" si="21"/>
        <v>182.48</v>
      </c>
      <c r="J155" s="243">
        <f t="shared" si="22"/>
        <v>2.5764975362454101E-4</v>
      </c>
      <c r="K155" s="248">
        <f t="shared" si="23"/>
        <v>704781.21</v>
      </c>
      <c r="L155" s="247">
        <f t="shared" si="24"/>
        <v>0.99510469703915982</v>
      </c>
      <c r="M155" s="273" t="str">
        <f t="shared" si="20"/>
        <v>C</v>
      </c>
    </row>
    <row r="156" spans="1:13" s="129" customFormat="1" ht="18" customHeight="1">
      <c r="B156" s="240" t="s">
        <v>519</v>
      </c>
      <c r="C156" s="240">
        <v>89366</v>
      </c>
      <c r="D156" s="241" t="s">
        <v>483</v>
      </c>
      <c r="E156" s="277" t="s">
        <v>72</v>
      </c>
      <c r="F156" s="242">
        <v>9</v>
      </c>
      <c r="G156" s="242">
        <v>16.09</v>
      </c>
      <c r="H156" s="242">
        <f t="shared" si="19"/>
        <v>20.27</v>
      </c>
      <c r="I156" s="242">
        <f t="shared" si="21"/>
        <v>182.43</v>
      </c>
      <c r="J156" s="243">
        <f t="shared" si="22"/>
        <v>2.575791569143195E-4</v>
      </c>
      <c r="K156" s="248">
        <f t="shared" si="23"/>
        <v>704963.64</v>
      </c>
      <c r="L156" s="247">
        <f t="shared" si="24"/>
        <v>0.99536227619607409</v>
      </c>
      <c r="M156" s="273" t="str">
        <f t="shared" si="20"/>
        <v>C</v>
      </c>
    </row>
    <row r="157" spans="1:13" s="129" customFormat="1" ht="18" customHeight="1">
      <c r="B157" s="240" t="s">
        <v>593</v>
      </c>
      <c r="C157" s="240" t="s">
        <v>463</v>
      </c>
      <c r="D157" s="241" t="s">
        <v>464</v>
      </c>
      <c r="E157" s="277" t="s">
        <v>72</v>
      </c>
      <c r="F157" s="242">
        <v>9</v>
      </c>
      <c r="G157" s="242">
        <v>15.72</v>
      </c>
      <c r="H157" s="242">
        <f t="shared" si="19"/>
        <v>19.809999999999999</v>
      </c>
      <c r="I157" s="242">
        <f t="shared" si="21"/>
        <v>178.29</v>
      </c>
      <c r="J157" s="243">
        <f t="shared" si="22"/>
        <v>2.5173374930797577E-4</v>
      </c>
      <c r="K157" s="248">
        <f t="shared" si="23"/>
        <v>705141.93</v>
      </c>
      <c r="L157" s="247">
        <f t="shared" si="24"/>
        <v>0.99561400994538207</v>
      </c>
      <c r="M157" s="273" t="str">
        <f t="shared" si="20"/>
        <v>C</v>
      </c>
    </row>
    <row r="158" spans="1:13" s="129" customFormat="1" ht="18" customHeight="1">
      <c r="B158" s="240" t="s">
        <v>422</v>
      </c>
      <c r="C158" s="240">
        <v>97644</v>
      </c>
      <c r="D158" s="241" t="s">
        <v>108</v>
      </c>
      <c r="E158" s="277" t="s">
        <v>42</v>
      </c>
      <c r="F158" s="242">
        <v>11.87</v>
      </c>
      <c r="G158" s="242">
        <v>11.33</v>
      </c>
      <c r="H158" s="242">
        <f t="shared" si="19"/>
        <v>14.28</v>
      </c>
      <c r="I158" s="242">
        <f t="shared" si="21"/>
        <v>169.5</v>
      </c>
      <c r="J158" s="243">
        <f t="shared" si="22"/>
        <v>2.3932284765102862E-4</v>
      </c>
      <c r="K158" s="248">
        <f t="shared" si="23"/>
        <v>705311.43</v>
      </c>
      <c r="L158" s="247">
        <f t="shared" si="24"/>
        <v>0.99585333279303312</v>
      </c>
      <c r="M158" s="273" t="str">
        <f t="shared" si="20"/>
        <v>C</v>
      </c>
    </row>
    <row r="159" spans="1:13" s="129" customFormat="1" ht="18" customHeight="1">
      <c r="B159" s="240" t="s">
        <v>711</v>
      </c>
      <c r="C159" s="240">
        <v>88415</v>
      </c>
      <c r="D159" s="241" t="s">
        <v>685</v>
      </c>
      <c r="E159" s="277" t="s">
        <v>42</v>
      </c>
      <c r="F159" s="242">
        <v>24</v>
      </c>
      <c r="G159" s="242">
        <v>5.44</v>
      </c>
      <c r="H159" s="242">
        <f t="shared" si="19"/>
        <v>6.85</v>
      </c>
      <c r="I159" s="242">
        <f t="shared" si="21"/>
        <v>164.4</v>
      </c>
      <c r="J159" s="243">
        <f t="shared" si="22"/>
        <v>2.3212198320843132E-4</v>
      </c>
      <c r="K159" s="248">
        <f t="shared" si="23"/>
        <v>705475.83000000007</v>
      </c>
      <c r="L159" s="247">
        <f t="shared" si="24"/>
        <v>0.99608545477624155</v>
      </c>
      <c r="M159" s="273" t="str">
        <f t="shared" si="20"/>
        <v>C</v>
      </c>
    </row>
    <row r="160" spans="1:13" s="129" customFormat="1" ht="18" customHeight="1">
      <c r="B160" s="240" t="s">
        <v>1071</v>
      </c>
      <c r="C160" s="240">
        <v>94569</v>
      </c>
      <c r="D160" s="241" t="s">
        <v>771</v>
      </c>
      <c r="E160" s="277" t="s">
        <v>42</v>
      </c>
      <c r="F160" s="242">
        <v>0.36</v>
      </c>
      <c r="G160" s="242">
        <v>355.71</v>
      </c>
      <c r="H160" s="242">
        <f t="shared" si="19"/>
        <v>448.19</v>
      </c>
      <c r="I160" s="242">
        <f t="shared" si="21"/>
        <v>161.35</v>
      </c>
      <c r="J160" s="243">
        <f t="shared" si="22"/>
        <v>2.2781558388491722E-4</v>
      </c>
      <c r="K160" s="248">
        <f t="shared" si="23"/>
        <v>705637.18</v>
      </c>
      <c r="L160" s="247">
        <f t="shared" si="24"/>
        <v>0.99631327036012651</v>
      </c>
      <c r="M160" s="273" t="str">
        <f t="shared" si="20"/>
        <v>C</v>
      </c>
    </row>
    <row r="161" spans="1:13" s="129" customFormat="1" ht="18" customHeight="1">
      <c r="B161" s="240" t="s">
        <v>585</v>
      </c>
      <c r="C161" s="240">
        <v>98308</v>
      </c>
      <c r="D161" s="241" t="s">
        <v>549</v>
      </c>
      <c r="E161" s="277" t="s">
        <v>251</v>
      </c>
      <c r="F161" s="242">
        <v>4</v>
      </c>
      <c r="G161" s="242">
        <v>31.9</v>
      </c>
      <c r="H161" s="242">
        <f t="shared" si="19"/>
        <v>40.19</v>
      </c>
      <c r="I161" s="242">
        <f t="shared" si="21"/>
        <v>160.76</v>
      </c>
      <c r="J161" s="243">
        <f t="shared" si="22"/>
        <v>2.26982542704303E-4</v>
      </c>
      <c r="K161" s="248">
        <f t="shared" si="23"/>
        <v>705797.94000000006</v>
      </c>
      <c r="L161" s="247">
        <f t="shared" si="24"/>
        <v>0.99654025290283077</v>
      </c>
      <c r="M161" s="273" t="str">
        <f t="shared" si="20"/>
        <v>C</v>
      </c>
    </row>
    <row r="162" spans="1:13" s="129" customFormat="1" ht="18" customHeight="1">
      <c r="B162" s="240" t="s">
        <v>512</v>
      </c>
      <c r="C162" s="240">
        <v>86915</v>
      </c>
      <c r="D162" s="241" t="s">
        <v>444</v>
      </c>
      <c r="E162" s="277" t="s">
        <v>72</v>
      </c>
      <c r="F162" s="242">
        <v>1</v>
      </c>
      <c r="G162" s="242">
        <v>126.94</v>
      </c>
      <c r="H162" s="242">
        <f t="shared" ref="H162:H188" si="25">ROUND(G162*(1+$G$6),2)</f>
        <v>159.94</v>
      </c>
      <c r="I162" s="242">
        <f t="shared" si="21"/>
        <v>159.94</v>
      </c>
      <c r="J162" s="243">
        <f t="shared" si="22"/>
        <v>2.2582475665666973E-4</v>
      </c>
      <c r="K162" s="248">
        <f t="shared" si="23"/>
        <v>705957.88</v>
      </c>
      <c r="L162" s="247">
        <f t="shared" si="24"/>
        <v>0.99676607765948744</v>
      </c>
      <c r="M162" s="273" t="str">
        <f t="shared" si="20"/>
        <v>C</v>
      </c>
    </row>
    <row r="163" spans="1:13" s="129" customFormat="1" ht="18" customHeight="1">
      <c r="B163" s="240" t="s">
        <v>1105</v>
      </c>
      <c r="C163" s="240" t="s">
        <v>160</v>
      </c>
      <c r="D163" s="241" t="s">
        <v>778</v>
      </c>
      <c r="E163" s="277" t="s">
        <v>251</v>
      </c>
      <c r="F163" s="242">
        <v>2</v>
      </c>
      <c r="G163" s="242">
        <v>58.760000000000005</v>
      </c>
      <c r="H163" s="242">
        <f t="shared" si="25"/>
        <v>74.040000000000006</v>
      </c>
      <c r="I163" s="242">
        <f t="shared" si="21"/>
        <v>148.08000000000001</v>
      </c>
      <c r="J163" s="243">
        <f t="shared" si="22"/>
        <v>2.0907921699211989E-4</v>
      </c>
      <c r="K163" s="248">
        <f t="shared" si="23"/>
        <v>706105.96</v>
      </c>
      <c r="L163" s="247">
        <f t="shared" si="24"/>
        <v>0.99697515687647953</v>
      </c>
      <c r="M163" s="273" t="str">
        <f t="shared" si="20"/>
        <v>C</v>
      </c>
    </row>
    <row r="164" spans="1:13" s="129" customFormat="1" ht="18" customHeight="1">
      <c r="B164" s="240" t="s">
        <v>520</v>
      </c>
      <c r="C164" s="240">
        <v>89385</v>
      </c>
      <c r="D164" s="241" t="s">
        <v>484</v>
      </c>
      <c r="E164" s="277" t="s">
        <v>72</v>
      </c>
      <c r="F164" s="242">
        <v>15</v>
      </c>
      <c r="G164" s="242">
        <v>7.77</v>
      </c>
      <c r="H164" s="242">
        <f t="shared" si="25"/>
        <v>9.7899999999999991</v>
      </c>
      <c r="I164" s="242">
        <f t="shared" si="21"/>
        <v>146.85</v>
      </c>
      <c r="J164" s="243">
        <f t="shared" si="22"/>
        <v>2.0734253792066993E-4</v>
      </c>
      <c r="K164" s="248">
        <f t="shared" si="23"/>
        <v>706252.80999999994</v>
      </c>
      <c r="L164" s="247">
        <f t="shared" si="24"/>
        <v>0.99718249941440018</v>
      </c>
      <c r="M164" s="273" t="str">
        <f t="shared" si="20"/>
        <v>C</v>
      </c>
    </row>
    <row r="165" spans="1:13" s="129" customFormat="1" ht="18" customHeight="1">
      <c r="B165" s="240" t="s">
        <v>926</v>
      </c>
      <c r="C165" s="240">
        <v>86909</v>
      </c>
      <c r="D165" s="241" t="s">
        <v>645</v>
      </c>
      <c r="E165" s="277" t="s">
        <v>251</v>
      </c>
      <c r="F165" s="242">
        <v>1</v>
      </c>
      <c r="G165" s="242">
        <v>116.17</v>
      </c>
      <c r="H165" s="242">
        <f t="shared" si="25"/>
        <v>146.37</v>
      </c>
      <c r="I165" s="242">
        <f t="shared" si="21"/>
        <v>146.37</v>
      </c>
      <c r="J165" s="243">
        <f t="shared" si="22"/>
        <v>2.0666480950254313E-4</v>
      </c>
      <c r="K165" s="248">
        <f t="shared" si="23"/>
        <v>706399.17999999993</v>
      </c>
      <c r="L165" s="247">
        <f t="shared" si="24"/>
        <v>0.99738916422390267</v>
      </c>
      <c r="M165" s="273" t="str">
        <f t="shared" si="20"/>
        <v>C</v>
      </c>
    </row>
    <row r="166" spans="1:13" s="129" customFormat="1" ht="18" customHeight="1">
      <c r="B166" s="240" t="s">
        <v>355</v>
      </c>
      <c r="C166" s="240">
        <v>97665</v>
      </c>
      <c r="D166" s="241" t="s">
        <v>306</v>
      </c>
      <c r="E166" s="277" t="s">
        <v>72</v>
      </c>
      <c r="F166" s="242">
        <v>51</v>
      </c>
      <c r="G166" s="242">
        <v>2.2599999999999998</v>
      </c>
      <c r="H166" s="242">
        <f t="shared" si="25"/>
        <v>2.85</v>
      </c>
      <c r="I166" s="242">
        <f t="shared" si="21"/>
        <v>145.35</v>
      </c>
      <c r="J166" s="243">
        <f t="shared" si="22"/>
        <v>2.0522463661402365E-4</v>
      </c>
      <c r="K166" s="248">
        <f t="shared" si="23"/>
        <v>706544.52999999991</v>
      </c>
      <c r="L166" s="247">
        <f t="shared" si="24"/>
        <v>0.99759438886051666</v>
      </c>
      <c r="M166" s="273" t="str">
        <f t="shared" si="20"/>
        <v>C</v>
      </c>
    </row>
    <row r="167" spans="1:13" s="129" customFormat="1" ht="18" customHeight="1">
      <c r="A167" s="234"/>
      <c r="B167" s="240" t="s">
        <v>223</v>
      </c>
      <c r="C167" s="240">
        <v>92023</v>
      </c>
      <c r="D167" s="241" t="s">
        <v>159</v>
      </c>
      <c r="E167" s="277" t="s">
        <v>72</v>
      </c>
      <c r="F167" s="242">
        <v>2</v>
      </c>
      <c r="G167" s="242">
        <v>57.56</v>
      </c>
      <c r="H167" s="242">
        <f t="shared" si="25"/>
        <v>72.53</v>
      </c>
      <c r="I167" s="242">
        <f t="shared" si="21"/>
        <v>145.06</v>
      </c>
      <c r="J167" s="243">
        <f t="shared" si="22"/>
        <v>2.0481517569473872E-4</v>
      </c>
      <c r="K167" s="248">
        <f t="shared" si="23"/>
        <v>706689.59</v>
      </c>
      <c r="L167" s="247">
        <f t="shared" si="24"/>
        <v>0.99779920403621136</v>
      </c>
      <c r="M167" s="273" t="str">
        <f t="shared" si="20"/>
        <v>C</v>
      </c>
    </row>
    <row r="168" spans="1:13" s="129" customFormat="1" ht="18" customHeight="1">
      <c r="B168" s="240" t="s">
        <v>307</v>
      </c>
      <c r="C168" s="240">
        <v>104793</v>
      </c>
      <c r="D168" s="241" t="s">
        <v>304</v>
      </c>
      <c r="E168" s="277" t="s">
        <v>43</v>
      </c>
      <c r="F168" s="242">
        <v>166.36</v>
      </c>
      <c r="G168" s="242">
        <v>0.68</v>
      </c>
      <c r="H168" s="242">
        <f t="shared" si="25"/>
        <v>0.86</v>
      </c>
      <c r="I168" s="242">
        <f t="shared" si="21"/>
        <v>143.07</v>
      </c>
      <c r="J168" s="243">
        <f t="shared" si="22"/>
        <v>2.0200542662792133E-4</v>
      </c>
      <c r="K168" s="248">
        <f t="shared" si="23"/>
        <v>706832.65999999992</v>
      </c>
      <c r="L168" s="247">
        <f t="shared" si="24"/>
        <v>0.99800120946283932</v>
      </c>
      <c r="M168" s="273" t="str">
        <f t="shared" si="20"/>
        <v>C</v>
      </c>
    </row>
    <row r="169" spans="1:13" s="129" customFormat="1" ht="18" customHeight="1">
      <c r="A169" s="234"/>
      <c r="B169" s="240" t="s">
        <v>601</v>
      </c>
      <c r="C169" s="240" t="s">
        <v>478</v>
      </c>
      <c r="D169" s="241" t="s">
        <v>479</v>
      </c>
      <c r="E169" s="277" t="s">
        <v>72</v>
      </c>
      <c r="F169" s="242">
        <v>2</v>
      </c>
      <c r="G169" s="242">
        <v>52.99</v>
      </c>
      <c r="H169" s="242">
        <f t="shared" si="25"/>
        <v>66.77</v>
      </c>
      <c r="I169" s="242">
        <f t="shared" si="21"/>
        <v>133.54</v>
      </c>
      <c r="J169" s="243">
        <f t="shared" si="22"/>
        <v>1.8854969365969534E-4</v>
      </c>
      <c r="K169" s="248">
        <f t="shared" si="23"/>
        <v>706966.2</v>
      </c>
      <c r="L169" s="247">
        <f t="shared" si="24"/>
        <v>0.99818975915649899</v>
      </c>
      <c r="M169" s="273" t="str">
        <f t="shared" si="20"/>
        <v>C</v>
      </c>
    </row>
    <row r="170" spans="1:13" s="129" customFormat="1" ht="18" customHeight="1">
      <c r="A170" s="23"/>
      <c r="B170" s="240" t="s">
        <v>709</v>
      </c>
      <c r="C170" s="240">
        <v>102513</v>
      </c>
      <c r="D170" s="241" t="s">
        <v>684</v>
      </c>
      <c r="E170" s="277" t="s">
        <v>42</v>
      </c>
      <c r="F170" s="242">
        <v>2</v>
      </c>
      <c r="G170" s="242">
        <v>52.73</v>
      </c>
      <c r="H170" s="242">
        <f t="shared" si="25"/>
        <v>66.44</v>
      </c>
      <c r="I170" s="242">
        <f t="shared" si="21"/>
        <v>132.88</v>
      </c>
      <c r="J170" s="243">
        <f t="shared" si="22"/>
        <v>1.8761781708477099E-4</v>
      </c>
      <c r="K170" s="248">
        <f t="shared" si="23"/>
        <v>707099.08</v>
      </c>
      <c r="L170" s="247">
        <f t="shared" si="24"/>
        <v>0.99837737697358375</v>
      </c>
      <c r="M170" s="273" t="str">
        <f t="shared" si="20"/>
        <v>C</v>
      </c>
    </row>
    <row r="171" spans="1:13" s="129" customFormat="1" ht="18" customHeight="1">
      <c r="A171" s="22"/>
      <c r="B171" s="240" t="s">
        <v>937</v>
      </c>
      <c r="C171" s="240">
        <v>89806</v>
      </c>
      <c r="D171" s="241" t="s">
        <v>673</v>
      </c>
      <c r="E171" s="277" t="s">
        <v>251</v>
      </c>
      <c r="F171" s="242">
        <v>5</v>
      </c>
      <c r="G171" s="242">
        <v>20.69</v>
      </c>
      <c r="H171" s="242">
        <f t="shared" si="25"/>
        <v>26.07</v>
      </c>
      <c r="I171" s="242">
        <f t="shared" si="21"/>
        <v>130.35</v>
      </c>
      <c r="J171" s="243">
        <f t="shared" si="22"/>
        <v>1.8404562354756095E-4</v>
      </c>
      <c r="K171" s="248">
        <f t="shared" si="23"/>
        <v>707229.42999999993</v>
      </c>
      <c r="L171" s="247">
        <f t="shared" si="24"/>
        <v>0.99856142259713132</v>
      </c>
      <c r="M171" s="273" t="str">
        <f t="shared" si="20"/>
        <v>C</v>
      </c>
    </row>
    <row r="172" spans="1:13" s="129" customFormat="1" ht="18" customHeight="1">
      <c r="B172" s="240" t="s">
        <v>935</v>
      </c>
      <c r="C172" s="240">
        <v>89726</v>
      </c>
      <c r="D172" s="241" t="s">
        <v>462</v>
      </c>
      <c r="E172" s="277" t="s">
        <v>251</v>
      </c>
      <c r="F172" s="242">
        <v>8</v>
      </c>
      <c r="G172" s="242">
        <v>11.29</v>
      </c>
      <c r="H172" s="242">
        <f t="shared" si="25"/>
        <v>14.23</v>
      </c>
      <c r="I172" s="242">
        <f t="shared" si="21"/>
        <v>113.84</v>
      </c>
      <c r="J172" s="243">
        <f t="shared" si="22"/>
        <v>1.6073458983240766E-4</v>
      </c>
      <c r="K172" s="248">
        <f t="shared" si="23"/>
        <v>707343.2699999999</v>
      </c>
      <c r="L172" s="247">
        <f t="shared" si="24"/>
        <v>0.99872215718696378</v>
      </c>
      <c r="M172" s="273" t="str">
        <f t="shared" si="20"/>
        <v>C</v>
      </c>
    </row>
    <row r="173" spans="1:13" s="129" customFormat="1" ht="18" customHeight="1">
      <c r="B173" s="240" t="s">
        <v>517</v>
      </c>
      <c r="C173" s="240">
        <v>89617</v>
      </c>
      <c r="D173" s="241" t="s">
        <v>452</v>
      </c>
      <c r="E173" s="277" t="s">
        <v>72</v>
      </c>
      <c r="F173" s="242">
        <v>10</v>
      </c>
      <c r="G173" s="242">
        <v>8.02</v>
      </c>
      <c r="H173" s="242">
        <f t="shared" si="25"/>
        <v>10.11</v>
      </c>
      <c r="I173" s="242">
        <f t="shared" ref="I173:I188" si="26">ROUND(F173*H173,2)</f>
        <v>101.1</v>
      </c>
      <c r="J173" s="243">
        <f t="shared" ref="J173:J188" si="27">I173/$I$190</f>
        <v>1.4274654806795866E-4</v>
      </c>
      <c r="K173" s="248">
        <f t="shared" si="23"/>
        <v>707444.36999999988</v>
      </c>
      <c r="L173" s="247">
        <f t="shared" si="24"/>
        <v>0.99886490373503178</v>
      </c>
      <c r="M173" s="273" t="str">
        <f t="shared" si="20"/>
        <v>C</v>
      </c>
    </row>
    <row r="174" spans="1:13" s="129" customFormat="1" ht="18" customHeight="1">
      <c r="B174" s="240" t="s">
        <v>230</v>
      </c>
      <c r="C174" s="240">
        <v>93666</v>
      </c>
      <c r="D174" s="241" t="s">
        <v>276</v>
      </c>
      <c r="E174" s="277" t="s">
        <v>72</v>
      </c>
      <c r="F174" s="242">
        <v>1</v>
      </c>
      <c r="G174" s="242">
        <v>76.290000000000006</v>
      </c>
      <c r="H174" s="242">
        <f t="shared" si="25"/>
        <v>96.13</v>
      </c>
      <c r="I174" s="242">
        <f t="shared" si="26"/>
        <v>96.13</v>
      </c>
      <c r="J174" s="243">
        <f t="shared" si="27"/>
        <v>1.3572923507193735E-4</v>
      </c>
      <c r="K174" s="248">
        <f t="shared" si="23"/>
        <v>707540.49999999988</v>
      </c>
      <c r="L174" s="247">
        <f t="shared" si="24"/>
        <v>0.99900063297010377</v>
      </c>
      <c r="M174" s="273" t="str">
        <f t="shared" si="20"/>
        <v>C</v>
      </c>
    </row>
    <row r="175" spans="1:13" s="129" customFormat="1" ht="18" customHeight="1">
      <c r="B175" s="240" t="s">
        <v>973</v>
      </c>
      <c r="C175" s="240" t="s">
        <v>180</v>
      </c>
      <c r="D175" s="241" t="s">
        <v>878</v>
      </c>
      <c r="E175" s="277" t="s">
        <v>43</v>
      </c>
      <c r="F175" s="242">
        <v>5</v>
      </c>
      <c r="G175" s="242">
        <v>14.9</v>
      </c>
      <c r="H175" s="242">
        <f t="shared" si="25"/>
        <v>18.77</v>
      </c>
      <c r="I175" s="242">
        <f t="shared" si="26"/>
        <v>93.85</v>
      </c>
      <c r="J175" s="243">
        <f t="shared" si="27"/>
        <v>1.3251002508583501E-4</v>
      </c>
      <c r="K175" s="248">
        <f t="shared" si="23"/>
        <v>707634.34999999986</v>
      </c>
      <c r="L175" s="247">
        <f t="shared" si="24"/>
        <v>0.99913314299518963</v>
      </c>
      <c r="M175" s="273" t="str">
        <f t="shared" si="20"/>
        <v>C</v>
      </c>
    </row>
    <row r="176" spans="1:13" s="129" customFormat="1" ht="18" customHeight="1">
      <c r="B176" s="240" t="s">
        <v>1096</v>
      </c>
      <c r="C176" s="240">
        <v>92868</v>
      </c>
      <c r="D176" s="241" t="s">
        <v>775</v>
      </c>
      <c r="E176" s="277" t="s">
        <v>251</v>
      </c>
      <c r="F176" s="242">
        <v>3</v>
      </c>
      <c r="G176" s="242">
        <v>21.07</v>
      </c>
      <c r="H176" s="242">
        <f t="shared" si="25"/>
        <v>26.55</v>
      </c>
      <c r="I176" s="242">
        <f t="shared" si="26"/>
        <v>79.650000000000006</v>
      </c>
      <c r="J176" s="243">
        <f t="shared" si="27"/>
        <v>1.12460559382917E-4</v>
      </c>
      <c r="K176" s="248">
        <f t="shared" si="23"/>
        <v>707713.99999999988</v>
      </c>
      <c r="L176" s="247">
        <f t="shared" si="24"/>
        <v>0.99924560355457259</v>
      </c>
      <c r="M176" s="273" t="str">
        <f t="shared" si="20"/>
        <v>C</v>
      </c>
    </row>
    <row r="177" spans="1:23" s="129" customFormat="1" ht="18" customHeight="1">
      <c r="A177" s="23"/>
      <c r="B177" s="240" t="s">
        <v>1122</v>
      </c>
      <c r="C177" s="240">
        <v>94589</v>
      </c>
      <c r="D177" s="241" t="s">
        <v>772</v>
      </c>
      <c r="E177" s="277" t="s">
        <v>43</v>
      </c>
      <c r="F177" s="242">
        <v>2.4</v>
      </c>
      <c r="G177" s="242">
        <v>23.53</v>
      </c>
      <c r="H177" s="242">
        <f t="shared" si="25"/>
        <v>29.65</v>
      </c>
      <c r="I177" s="242">
        <f t="shared" si="26"/>
        <v>71.16</v>
      </c>
      <c r="J177" s="243">
        <f t="shared" si="27"/>
        <v>1.004732379872991E-4</v>
      </c>
      <c r="K177" s="248">
        <f t="shared" si="23"/>
        <v>707785.15999999992</v>
      </c>
      <c r="L177" s="247">
        <f t="shared" si="24"/>
        <v>0.99934607679255993</v>
      </c>
      <c r="M177" s="273" t="str">
        <f t="shared" si="20"/>
        <v>C</v>
      </c>
    </row>
    <row r="178" spans="1:23" s="129" customFormat="1" ht="18" customHeight="1">
      <c r="B178" s="240" t="s">
        <v>596</v>
      </c>
      <c r="C178" s="240" t="s">
        <v>469</v>
      </c>
      <c r="D178" s="241" t="s">
        <v>470</v>
      </c>
      <c r="E178" s="277" t="s">
        <v>85</v>
      </c>
      <c r="F178" s="242">
        <v>2</v>
      </c>
      <c r="G178" s="242">
        <v>26.87</v>
      </c>
      <c r="H178" s="242">
        <f t="shared" si="25"/>
        <v>33.86</v>
      </c>
      <c r="I178" s="242">
        <f t="shared" si="26"/>
        <v>67.72</v>
      </c>
      <c r="J178" s="243">
        <f t="shared" si="27"/>
        <v>9.5616184324056981E-5</v>
      </c>
      <c r="K178" s="248">
        <f t="shared" si="23"/>
        <v>707852.87999999989</v>
      </c>
      <c r="L178" s="247">
        <f t="shared" si="24"/>
        <v>0.99944169297688401</v>
      </c>
      <c r="M178" s="273" t="str">
        <f t="shared" si="20"/>
        <v>C</v>
      </c>
    </row>
    <row r="179" spans="1:23" s="129" customFormat="1" ht="18" customHeight="1">
      <c r="B179" s="240" t="s">
        <v>514</v>
      </c>
      <c r="C179" s="240" t="s">
        <v>446</v>
      </c>
      <c r="D179" s="241" t="s">
        <v>447</v>
      </c>
      <c r="E179" s="277" t="s">
        <v>72</v>
      </c>
      <c r="F179" s="242">
        <v>1</v>
      </c>
      <c r="G179" s="242">
        <v>48.84</v>
      </c>
      <c r="H179" s="242">
        <f t="shared" si="25"/>
        <v>61.54</v>
      </c>
      <c r="I179" s="242">
        <f t="shared" si="26"/>
        <v>61.54</v>
      </c>
      <c r="J179" s="243">
        <f t="shared" si="27"/>
        <v>8.6890430940674343E-5</v>
      </c>
      <c r="K179" s="248">
        <f t="shared" si="23"/>
        <v>707914.41999999993</v>
      </c>
      <c r="L179" s="247">
        <f t="shared" si="24"/>
        <v>0.99952858340782469</v>
      </c>
      <c r="M179" s="273" t="str">
        <f t="shared" si="20"/>
        <v>C</v>
      </c>
    </row>
    <row r="180" spans="1:23" s="129" customFormat="1" ht="18" customHeight="1">
      <c r="B180" s="240" t="s">
        <v>939</v>
      </c>
      <c r="C180" s="240">
        <v>89731</v>
      </c>
      <c r="D180" s="241" t="s">
        <v>671</v>
      </c>
      <c r="E180" s="277" t="s">
        <v>251</v>
      </c>
      <c r="F180" s="242">
        <v>3</v>
      </c>
      <c r="G180" s="242">
        <v>15.05</v>
      </c>
      <c r="H180" s="242">
        <f t="shared" si="25"/>
        <v>18.96</v>
      </c>
      <c r="I180" s="242">
        <f t="shared" si="26"/>
        <v>56.88</v>
      </c>
      <c r="J180" s="243">
        <f t="shared" si="27"/>
        <v>8.03108175480266E-5</v>
      </c>
      <c r="K180" s="248">
        <f t="shared" si="23"/>
        <v>707971.29999999993</v>
      </c>
      <c r="L180" s="247">
        <f t="shared" si="24"/>
        <v>0.99960889422537269</v>
      </c>
      <c r="M180" s="273" t="str">
        <f t="shared" si="20"/>
        <v>C</v>
      </c>
    </row>
    <row r="181" spans="1:23" s="129" customFormat="1" ht="18" customHeight="1">
      <c r="B181" s="240" t="s">
        <v>995</v>
      </c>
      <c r="C181" s="240">
        <v>97645</v>
      </c>
      <c r="D181" s="241" t="s">
        <v>860</v>
      </c>
      <c r="E181" s="277" t="s">
        <v>42</v>
      </c>
      <c r="F181" s="242">
        <v>1.5</v>
      </c>
      <c r="G181" s="242">
        <v>29.25</v>
      </c>
      <c r="H181" s="242">
        <f t="shared" si="25"/>
        <v>36.86</v>
      </c>
      <c r="I181" s="242">
        <f t="shared" si="26"/>
        <v>55.29</v>
      </c>
      <c r="J181" s="243">
        <f t="shared" si="27"/>
        <v>7.8065842162981542E-5</v>
      </c>
      <c r="K181" s="248">
        <f t="shared" si="23"/>
        <v>708026.59</v>
      </c>
      <c r="L181" s="247">
        <f t="shared" si="24"/>
        <v>0.99968696006753566</v>
      </c>
      <c r="M181" s="273" t="str">
        <f t="shared" si="20"/>
        <v>C</v>
      </c>
    </row>
    <row r="182" spans="1:23" s="129" customFormat="1" ht="18" customHeight="1">
      <c r="B182" s="240" t="s">
        <v>597</v>
      </c>
      <c r="C182" s="240" t="s">
        <v>471</v>
      </c>
      <c r="D182" s="241" t="s">
        <v>472</v>
      </c>
      <c r="E182" s="277" t="s">
        <v>72</v>
      </c>
      <c r="F182" s="242">
        <v>4</v>
      </c>
      <c r="G182" s="242">
        <v>9.77</v>
      </c>
      <c r="H182" s="242">
        <f t="shared" si="25"/>
        <v>12.31</v>
      </c>
      <c r="I182" s="242">
        <f t="shared" si="26"/>
        <v>49.24</v>
      </c>
      <c r="J182" s="243">
        <f t="shared" si="27"/>
        <v>6.9523640226174923E-5</v>
      </c>
      <c r="K182" s="248">
        <f t="shared" si="23"/>
        <v>708075.83</v>
      </c>
      <c r="L182" s="247">
        <f t="shared" si="24"/>
        <v>0.99975648370776182</v>
      </c>
      <c r="M182" s="273" t="str">
        <f t="shared" si="20"/>
        <v>C</v>
      </c>
    </row>
    <row r="183" spans="1:23" s="129" customFormat="1" ht="18" customHeight="1">
      <c r="B183" s="240" t="s">
        <v>595</v>
      </c>
      <c r="C183" s="240" t="s">
        <v>467</v>
      </c>
      <c r="D183" s="241" t="s">
        <v>468</v>
      </c>
      <c r="E183" s="277" t="s">
        <v>72</v>
      </c>
      <c r="F183" s="242">
        <v>3</v>
      </c>
      <c r="G183" s="242">
        <v>11.08</v>
      </c>
      <c r="H183" s="242">
        <f t="shared" si="25"/>
        <v>13.96</v>
      </c>
      <c r="I183" s="242">
        <f t="shared" si="26"/>
        <v>41.88</v>
      </c>
      <c r="J183" s="243">
        <f t="shared" si="27"/>
        <v>5.9131804481563892E-5</v>
      </c>
      <c r="K183" s="248">
        <f t="shared" si="23"/>
        <v>708117.71</v>
      </c>
      <c r="L183" s="247">
        <f t="shared" si="24"/>
        <v>0.99981561551224341</v>
      </c>
      <c r="M183" s="273" t="str">
        <f t="shared" si="20"/>
        <v>C</v>
      </c>
    </row>
    <row r="184" spans="1:23" s="129" customFormat="1" ht="18" customHeight="1">
      <c r="B184" s="240" t="s">
        <v>511</v>
      </c>
      <c r="C184" s="240" t="s">
        <v>442</v>
      </c>
      <c r="D184" s="241" t="s">
        <v>443</v>
      </c>
      <c r="E184" s="277" t="s">
        <v>72</v>
      </c>
      <c r="F184" s="242">
        <v>2</v>
      </c>
      <c r="G184" s="242">
        <v>14.5</v>
      </c>
      <c r="H184" s="242">
        <f t="shared" si="25"/>
        <v>18.27</v>
      </c>
      <c r="I184" s="242">
        <f t="shared" si="26"/>
        <v>36.54</v>
      </c>
      <c r="J184" s="243">
        <f t="shared" si="27"/>
        <v>5.1592075829903158E-5</v>
      </c>
      <c r="K184" s="248">
        <f t="shared" si="23"/>
        <v>708154.25</v>
      </c>
      <c r="L184" s="247">
        <f t="shared" si="24"/>
        <v>0.99986720758807335</v>
      </c>
      <c r="M184" s="273" t="str">
        <f t="shared" si="20"/>
        <v>C</v>
      </c>
    </row>
    <row r="185" spans="1:23" s="129" customFormat="1" ht="18" customHeight="1">
      <c r="A185" s="234"/>
      <c r="B185" s="240" t="s">
        <v>667</v>
      </c>
      <c r="C185" s="240" t="str">
        <f>COMPOSIÇÕES!C38</f>
        <v>COMP007</v>
      </c>
      <c r="D185" s="241" t="s">
        <v>646</v>
      </c>
      <c r="E185" s="277" t="s">
        <v>251</v>
      </c>
      <c r="F185" s="242">
        <v>1</v>
      </c>
      <c r="G185" s="242">
        <v>25.619999999999997</v>
      </c>
      <c r="H185" s="242">
        <f t="shared" si="25"/>
        <v>32.28</v>
      </c>
      <c r="I185" s="242">
        <f t="shared" si="26"/>
        <v>32.28</v>
      </c>
      <c r="J185" s="243">
        <f t="shared" si="27"/>
        <v>4.5577236119027753E-5</v>
      </c>
      <c r="K185" s="248">
        <f t="shared" si="23"/>
        <v>708186.53</v>
      </c>
      <c r="L185" s="247">
        <f t="shared" si="24"/>
        <v>0.99991278482419232</v>
      </c>
      <c r="M185" s="273" t="str">
        <f t="shared" si="20"/>
        <v>C</v>
      </c>
    </row>
    <row r="186" spans="1:23" s="129" customFormat="1" ht="18" customHeight="1">
      <c r="B186" s="240" t="s">
        <v>1028</v>
      </c>
      <c r="C186" s="240">
        <v>101616</v>
      </c>
      <c r="D186" s="241" t="s">
        <v>785</v>
      </c>
      <c r="E186" s="277" t="s">
        <v>42</v>
      </c>
      <c r="F186" s="242">
        <v>2.6909999999999998</v>
      </c>
      <c r="G186" s="242">
        <v>7.03</v>
      </c>
      <c r="H186" s="242">
        <f t="shared" si="25"/>
        <v>8.86</v>
      </c>
      <c r="I186" s="242">
        <f t="shared" si="26"/>
        <v>23.84</v>
      </c>
      <c r="J186" s="243">
        <f t="shared" si="27"/>
        <v>3.36605114336314E-5</v>
      </c>
      <c r="K186" s="248">
        <f t="shared" si="23"/>
        <v>708210.37</v>
      </c>
      <c r="L186" s="247">
        <f t="shared" si="24"/>
        <v>0.99994644533562593</v>
      </c>
      <c r="M186" s="273" t="str">
        <f t="shared" si="20"/>
        <v>C</v>
      </c>
    </row>
    <row r="187" spans="1:23" s="129" customFormat="1" ht="18" customHeight="1">
      <c r="B187" s="240" t="s">
        <v>308</v>
      </c>
      <c r="C187" s="240">
        <v>97660</v>
      </c>
      <c r="D187" s="241" t="s">
        <v>305</v>
      </c>
      <c r="E187" s="277" t="s">
        <v>72</v>
      </c>
      <c r="F187" s="242">
        <v>19</v>
      </c>
      <c r="G187" s="242">
        <v>0.83</v>
      </c>
      <c r="H187" s="242">
        <f t="shared" si="25"/>
        <v>1.05</v>
      </c>
      <c r="I187" s="242">
        <f t="shared" si="26"/>
        <v>19.95</v>
      </c>
      <c r="J187" s="243">
        <f t="shared" si="27"/>
        <v>2.8168087378395405E-5</v>
      </c>
      <c r="K187" s="248">
        <f t="shared" si="23"/>
        <v>708230.32</v>
      </c>
      <c r="L187" s="247">
        <f t="shared" si="24"/>
        <v>0.99997461342300431</v>
      </c>
      <c r="M187" s="273" t="str">
        <f t="shared" si="20"/>
        <v>C</v>
      </c>
      <c r="N187" s="250"/>
      <c r="O187" s="250"/>
      <c r="P187" s="250"/>
      <c r="Q187" s="250"/>
      <c r="R187" s="250"/>
      <c r="S187" s="250"/>
      <c r="T187" s="250"/>
      <c r="U187" s="250"/>
      <c r="V187" s="250"/>
      <c r="W187" s="250"/>
    </row>
    <row r="188" spans="1:23" s="129" customFormat="1" ht="18" customHeight="1">
      <c r="B188" s="240" t="s">
        <v>510</v>
      </c>
      <c r="C188" s="240">
        <v>86883</v>
      </c>
      <c r="D188" s="241" t="s">
        <v>151</v>
      </c>
      <c r="E188" s="277" t="s">
        <v>72</v>
      </c>
      <c r="F188" s="242">
        <v>1</v>
      </c>
      <c r="G188" s="242">
        <v>14.27</v>
      </c>
      <c r="H188" s="242">
        <f t="shared" si="25"/>
        <v>17.98</v>
      </c>
      <c r="I188" s="242">
        <f t="shared" si="26"/>
        <v>17.98</v>
      </c>
      <c r="J188" s="243">
        <f t="shared" si="27"/>
        <v>2.5386576995666636E-5</v>
      </c>
      <c r="K188" s="248">
        <f t="shared" si="23"/>
        <v>708248.29999999993</v>
      </c>
      <c r="L188" s="247">
        <f t="shared" si="24"/>
        <v>1</v>
      </c>
      <c r="M188" s="273" t="str">
        <f t="shared" si="20"/>
        <v>C</v>
      </c>
      <c r="N188" s="250"/>
      <c r="O188" s="250"/>
      <c r="P188" s="250"/>
      <c r="Q188" s="250"/>
      <c r="R188" s="250"/>
      <c r="S188" s="250"/>
      <c r="T188" s="250"/>
      <c r="U188" s="250"/>
      <c r="V188" s="250"/>
      <c r="W188" s="250"/>
    </row>
    <row r="189" spans="1:23" s="129" customFormat="1" ht="18" customHeight="1">
      <c r="B189" s="1"/>
      <c r="C189" s="1"/>
      <c r="D189" s="1"/>
      <c r="E189" s="2"/>
      <c r="F189" s="3"/>
      <c r="G189" s="3"/>
      <c r="H189" s="3"/>
      <c r="I189" s="3"/>
      <c r="J189" s="3"/>
      <c r="K189" s="1"/>
      <c r="L189" s="1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</row>
    <row r="190" spans="1:23" s="129" customFormat="1" ht="18" customHeight="1">
      <c r="A190" s="22"/>
      <c r="B190" s="1"/>
      <c r="C190" s="1"/>
      <c r="D190" s="1"/>
      <c r="E190" s="2"/>
      <c r="F190" s="3"/>
      <c r="G190" s="3"/>
      <c r="H190" s="3"/>
      <c r="I190" s="3">
        <f>SUM(I13:I189)</f>
        <v>708248.29999999993</v>
      </c>
      <c r="J190" s="3"/>
      <c r="K190" s="1"/>
      <c r="L190" s="1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</row>
    <row r="191" spans="1:23" s="129" customFormat="1" ht="18" customHeight="1">
      <c r="B191" s="1"/>
      <c r="C191" s="1"/>
      <c r="D191" s="1"/>
      <c r="E191" s="2"/>
      <c r="F191" s="3"/>
      <c r="G191" s="3"/>
      <c r="H191" s="3"/>
      <c r="I191" s="3"/>
      <c r="J191" s="3"/>
      <c r="K191" s="1"/>
      <c r="L191" s="1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250"/>
    </row>
  </sheetData>
  <autoFilter ref="A12:L12" xr:uid="{00000000-0009-0000-0000-000001000000}">
    <sortState xmlns:xlrd2="http://schemas.microsoft.com/office/spreadsheetml/2017/richdata2" ref="A13:L188">
      <sortCondition descending="1" ref="I12"/>
    </sortState>
  </autoFilter>
  <mergeCells count="2">
    <mergeCell ref="Q8:S8"/>
    <mergeCell ref="N2:W4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4294967293" r:id="rId1"/>
  <headerFooter scaleWithDoc="0">
    <oddFooter>&amp;R&amp;"Arial,Itálico"&amp;7Página: &amp;P de &amp;N</oddFooter>
  </headerFooter>
  <rowBreaks count="1" manualBreakCount="1">
    <brk id="26" min="13" max="2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8"/>
  <sheetViews>
    <sheetView view="pageBreakPreview" zoomScale="85" zoomScaleNormal="70" zoomScaleSheetLayoutView="85" workbookViewId="0">
      <pane xSplit="7" ySplit="4" topLeftCell="H5" activePane="bottomRight" state="frozen"/>
      <selection sqref="A1:I1"/>
      <selection pane="topRight" sqref="A1:I1"/>
      <selection pane="bottomLeft" sqref="A1:I1"/>
      <selection pane="bottomRight" activeCell="B7" sqref="B7"/>
    </sheetView>
  </sheetViews>
  <sheetFormatPr defaultRowHeight="15"/>
  <cols>
    <col min="1" max="1" width="5.42578125" customWidth="1"/>
    <col min="2" max="2" width="45.28515625" customWidth="1"/>
    <col min="3" max="3" width="10.5703125" customWidth="1"/>
    <col min="4" max="4" width="11.140625" bestFit="1" customWidth="1"/>
    <col min="5" max="5" width="12.5703125" bestFit="1" customWidth="1"/>
    <col min="6" max="6" width="9.5703125" bestFit="1" customWidth="1"/>
    <col min="7" max="7" width="8.85546875" bestFit="1" customWidth="1"/>
    <col min="8" max="9" width="11.140625" customWidth="1"/>
    <col min="10" max="10" width="16.5703125" customWidth="1"/>
    <col min="11" max="11" width="14.7109375" customWidth="1"/>
    <col min="12" max="12" width="16.5703125" customWidth="1"/>
    <col min="13" max="13" width="15.5703125" customWidth="1"/>
    <col min="14" max="14" width="14.85546875" customWidth="1"/>
    <col min="15" max="15" width="16.7109375" customWidth="1"/>
    <col min="16" max="16" width="16.5703125" customWidth="1"/>
    <col min="17" max="17" width="14.85546875" customWidth="1"/>
    <col min="18" max="18" width="12.85546875" customWidth="1"/>
    <col min="19" max="19" width="14" customWidth="1"/>
    <col min="20" max="20" width="17.5703125" customWidth="1"/>
    <col min="21" max="21" width="18.5703125" customWidth="1"/>
    <col min="22" max="22" width="14.140625" customWidth="1"/>
    <col min="23" max="24" width="18.5703125" customWidth="1"/>
    <col min="25" max="25" width="7" bestFit="1" customWidth="1"/>
    <col min="26" max="26" width="13" customWidth="1"/>
    <col min="27" max="27" width="8" bestFit="1" customWidth="1"/>
    <col min="28" max="28" width="8.5703125" bestFit="1" customWidth="1"/>
    <col min="29" max="29" width="11.5703125" bestFit="1" customWidth="1"/>
    <col min="30" max="30" width="11.5703125" customWidth="1"/>
    <col min="31" max="31" width="10.28515625" bestFit="1" customWidth="1"/>
    <col min="32" max="32" width="14" customWidth="1"/>
    <col min="33" max="33" width="10.28515625" customWidth="1"/>
    <col min="34" max="34" width="11.5703125" bestFit="1" customWidth="1"/>
    <col min="35" max="35" width="10.28515625" bestFit="1" customWidth="1"/>
    <col min="36" max="37" width="11.140625" customWidth="1"/>
    <col min="38" max="41" width="15.5703125" customWidth="1"/>
    <col min="42" max="42" width="13" customWidth="1"/>
    <col min="43" max="43" width="10.42578125" customWidth="1"/>
    <col min="44" max="44" width="14.140625" customWidth="1"/>
    <col min="45" max="45" width="14.28515625" customWidth="1"/>
    <col min="46" max="47" width="16.28515625" customWidth="1"/>
    <col min="48" max="49" width="19.140625" customWidth="1"/>
    <col min="50" max="50" width="12.140625" customWidth="1"/>
    <col min="51" max="51" width="11.42578125" bestFit="1" customWidth="1"/>
    <col min="52" max="53" width="9" bestFit="1" customWidth="1"/>
    <col min="54" max="54" width="11.5703125" bestFit="1" customWidth="1"/>
    <col min="55" max="55" width="11.5703125" customWidth="1"/>
    <col min="56" max="56" width="10.85546875" bestFit="1" customWidth="1"/>
    <col min="57" max="57" width="9.7109375" customWidth="1"/>
  </cols>
  <sheetData>
    <row r="1" spans="1:56" ht="21">
      <c r="B1" s="119" t="s">
        <v>129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355"/>
      <c r="AB1" s="355"/>
      <c r="AC1" s="355"/>
      <c r="AD1" s="355"/>
      <c r="AE1" s="355"/>
      <c r="AF1" s="355"/>
      <c r="AG1" s="355"/>
      <c r="AH1" s="355"/>
      <c r="AI1" s="355"/>
      <c r="AJ1" s="119"/>
      <c r="AK1" s="119"/>
      <c r="AL1" s="119"/>
      <c r="AM1" s="119"/>
      <c r="AN1" s="119"/>
      <c r="AO1" s="119"/>
    </row>
    <row r="2" spans="1:56" ht="62.25" customHeight="1">
      <c r="B2" s="286" t="s">
        <v>1145</v>
      </c>
      <c r="C2" s="286"/>
      <c r="D2" s="286"/>
      <c r="E2" s="286"/>
      <c r="F2" s="286"/>
      <c r="G2" s="286"/>
    </row>
    <row r="3" spans="1:56" ht="33" customHeight="1">
      <c r="B3" s="121"/>
      <c r="C3" s="122"/>
      <c r="D3" s="122"/>
      <c r="E3" s="122"/>
      <c r="F3" s="122"/>
      <c r="G3" s="122"/>
      <c r="H3" s="354" t="s">
        <v>841</v>
      </c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0" t="s">
        <v>130</v>
      </c>
      <c r="T3" s="351"/>
      <c r="U3" s="351"/>
      <c r="V3" s="351"/>
      <c r="W3" s="351"/>
      <c r="X3" s="352"/>
      <c r="Y3" s="356" t="s">
        <v>131</v>
      </c>
      <c r="Z3" s="357"/>
      <c r="AA3" s="350" t="s">
        <v>132</v>
      </c>
      <c r="AB3" s="351"/>
      <c r="AC3" s="351"/>
      <c r="AD3" s="351"/>
      <c r="AE3" s="352"/>
      <c r="AF3" s="350" t="s">
        <v>185</v>
      </c>
      <c r="AG3" s="351"/>
      <c r="AH3" s="351"/>
      <c r="AI3" s="351"/>
      <c r="AJ3" s="351"/>
      <c r="AK3" s="351"/>
      <c r="AL3" s="352"/>
      <c r="AM3" s="350" t="s">
        <v>146</v>
      </c>
      <c r="AN3" s="351"/>
      <c r="AO3" s="351"/>
      <c r="AP3" s="351"/>
      <c r="AQ3" s="351"/>
      <c r="AR3" s="351"/>
      <c r="AS3" s="351"/>
      <c r="AT3" s="351"/>
      <c r="AU3" s="351"/>
      <c r="AV3" s="351"/>
      <c r="AW3" s="352"/>
      <c r="AX3" s="350" t="s">
        <v>113</v>
      </c>
      <c r="AY3" s="351"/>
      <c r="AZ3" s="351"/>
      <c r="BA3" s="351"/>
      <c r="BB3" s="351"/>
      <c r="BC3" s="351"/>
      <c r="BD3" s="352"/>
    </row>
    <row r="4" spans="1:56" ht="47.25" customHeight="1">
      <c r="B4" s="128" t="s">
        <v>133</v>
      </c>
      <c r="C4" s="123" t="s">
        <v>114</v>
      </c>
      <c r="D4" s="123" t="s">
        <v>134</v>
      </c>
      <c r="E4" s="123" t="s">
        <v>135</v>
      </c>
      <c r="F4" s="123" t="s">
        <v>119</v>
      </c>
      <c r="G4" s="123" t="s">
        <v>115</v>
      </c>
      <c r="H4" s="124" t="s">
        <v>842</v>
      </c>
      <c r="I4" s="124" t="s">
        <v>849</v>
      </c>
      <c r="J4" s="124" t="s">
        <v>848</v>
      </c>
      <c r="K4" s="124" t="s">
        <v>845</v>
      </c>
      <c r="L4" s="124" t="s">
        <v>846</v>
      </c>
      <c r="M4" s="124" t="s">
        <v>847</v>
      </c>
      <c r="N4" s="124" t="s">
        <v>850</v>
      </c>
      <c r="O4" s="124" t="s">
        <v>853</v>
      </c>
      <c r="P4" s="124" t="s">
        <v>854</v>
      </c>
      <c r="Q4" s="124" t="s">
        <v>851</v>
      </c>
      <c r="R4" s="124" t="s">
        <v>852</v>
      </c>
      <c r="S4" s="124" t="s">
        <v>136</v>
      </c>
      <c r="T4" s="124" t="s">
        <v>187</v>
      </c>
      <c r="U4" s="124" t="s">
        <v>188</v>
      </c>
      <c r="V4" s="124" t="s">
        <v>557</v>
      </c>
      <c r="W4" s="124" t="s">
        <v>681</v>
      </c>
      <c r="X4" s="124" t="s">
        <v>1142</v>
      </c>
      <c r="Y4" s="124" t="s">
        <v>176</v>
      </c>
      <c r="Z4" s="124" t="s">
        <v>184</v>
      </c>
      <c r="AA4" s="124" t="s">
        <v>138</v>
      </c>
      <c r="AB4" s="124" t="s">
        <v>139</v>
      </c>
      <c r="AC4" s="124" t="s">
        <v>140</v>
      </c>
      <c r="AD4" s="124" t="s">
        <v>375</v>
      </c>
      <c r="AE4" s="124" t="s">
        <v>141</v>
      </c>
      <c r="AF4" s="124" t="s">
        <v>562</v>
      </c>
      <c r="AG4" s="124" t="s">
        <v>561</v>
      </c>
      <c r="AH4" s="124" t="s">
        <v>142</v>
      </c>
      <c r="AI4" s="124" t="s">
        <v>141</v>
      </c>
      <c r="AJ4" s="124" t="s">
        <v>186</v>
      </c>
      <c r="AK4" s="124" t="s">
        <v>682</v>
      </c>
      <c r="AL4" s="124" t="s">
        <v>137</v>
      </c>
      <c r="AM4" s="124" t="s">
        <v>1118</v>
      </c>
      <c r="AN4" s="124" t="s">
        <v>1119</v>
      </c>
      <c r="AO4" s="124" t="s">
        <v>768</v>
      </c>
      <c r="AP4" s="124" t="s">
        <v>394</v>
      </c>
      <c r="AQ4" s="124" t="s">
        <v>408</v>
      </c>
      <c r="AR4" s="124" t="s">
        <v>397</v>
      </c>
      <c r="AS4" s="124" t="s">
        <v>398</v>
      </c>
      <c r="AT4" s="124" t="s">
        <v>399</v>
      </c>
      <c r="AU4" s="124" t="s">
        <v>558</v>
      </c>
      <c r="AV4" s="124" t="s">
        <v>769</v>
      </c>
      <c r="AW4" s="124" t="s">
        <v>770</v>
      </c>
      <c r="AX4" s="124" t="s">
        <v>82</v>
      </c>
      <c r="AY4" s="124" t="s">
        <v>83</v>
      </c>
      <c r="AZ4" s="124" t="s">
        <v>148</v>
      </c>
      <c r="BA4" s="124" t="s">
        <v>157</v>
      </c>
      <c r="BB4" s="124" t="s">
        <v>158</v>
      </c>
      <c r="BC4" s="124" t="s">
        <v>642</v>
      </c>
      <c r="BD4" s="124" t="s">
        <v>147</v>
      </c>
    </row>
    <row r="5" spans="1:56" ht="18.75" customHeight="1">
      <c r="A5" s="345" t="s">
        <v>1117</v>
      </c>
      <c r="B5" s="149" t="s">
        <v>144</v>
      </c>
      <c r="C5" s="150" t="s">
        <v>175</v>
      </c>
      <c r="D5" s="150" t="s">
        <v>175</v>
      </c>
      <c r="E5" s="150">
        <f>12+1.89+0.6+3.15+2.51+14.71+4.55</f>
        <v>39.409999999999997</v>
      </c>
      <c r="F5" s="150">
        <f>(3.15*2.51)+(12*4.55)</f>
        <v>62.506499999999996</v>
      </c>
      <c r="G5" s="150">
        <v>2.65</v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>
        <f>F5</f>
        <v>62.506499999999996</v>
      </c>
      <c r="T5" s="150">
        <f>F5</f>
        <v>62.506499999999996</v>
      </c>
      <c r="U5" s="150">
        <f>F5</f>
        <v>62.506499999999996</v>
      </c>
      <c r="V5" s="150"/>
      <c r="W5" s="150"/>
      <c r="X5" s="150"/>
      <c r="Y5" s="150">
        <f>E5</f>
        <v>39.409999999999997</v>
      </c>
      <c r="Z5" s="150"/>
      <c r="AA5" s="150">
        <f>F5</f>
        <v>62.506499999999996</v>
      </c>
      <c r="AB5" s="150">
        <f>E5</f>
        <v>39.409999999999997</v>
      </c>
      <c r="AC5" s="150">
        <f>AA5</f>
        <v>62.506499999999996</v>
      </c>
      <c r="AD5" s="150" t="s">
        <v>180</v>
      </c>
      <c r="AE5" s="150">
        <f t="shared" ref="AE5:AE10" si="0">F5</f>
        <v>62.506499999999996</v>
      </c>
      <c r="AF5" s="150"/>
      <c r="AG5" s="150"/>
      <c r="AH5" s="150">
        <f>E5*G5</f>
        <v>104.43649999999998</v>
      </c>
      <c r="AI5" s="150">
        <f>AH5</f>
        <v>104.43649999999998</v>
      </c>
      <c r="AJ5" s="126"/>
      <c r="AK5" s="126"/>
      <c r="AL5" s="126"/>
      <c r="AM5" s="150"/>
      <c r="AN5" s="150"/>
      <c r="AO5" s="150"/>
      <c r="AP5" s="150">
        <v>1</v>
      </c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</row>
    <row r="6" spans="1:56">
      <c r="A6" s="346"/>
      <c r="B6" s="149" t="s">
        <v>145</v>
      </c>
      <c r="C6" s="126" t="s">
        <v>360</v>
      </c>
      <c r="D6" s="126" t="s">
        <v>175</v>
      </c>
      <c r="E6" s="150">
        <f>7.25+7.25+16.59+16.59+1.2*4</f>
        <v>52.48</v>
      </c>
      <c r="F6" s="150">
        <f>7.25*(16.59-2.38+0.91)</f>
        <v>109.62</v>
      </c>
      <c r="G6" s="150">
        <v>3.11</v>
      </c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>
        <f>F6</f>
        <v>109.62</v>
      </c>
      <c r="T6" s="150">
        <f>F6</f>
        <v>109.62</v>
      </c>
      <c r="U6" s="150">
        <f>F6</f>
        <v>109.62</v>
      </c>
      <c r="V6" s="150"/>
      <c r="W6" s="150"/>
      <c r="X6" s="150"/>
      <c r="Y6" s="150"/>
      <c r="Z6" s="150">
        <f>E6</f>
        <v>52.48</v>
      </c>
      <c r="AA6" s="150"/>
      <c r="AB6" s="150"/>
      <c r="AC6" s="150">
        <f>AA6</f>
        <v>0</v>
      </c>
      <c r="AD6" s="150">
        <f>F6</f>
        <v>109.62</v>
      </c>
      <c r="AE6" s="150">
        <f t="shared" si="0"/>
        <v>109.62</v>
      </c>
      <c r="AF6" s="150"/>
      <c r="AG6" s="150"/>
      <c r="AH6" s="150">
        <f>E6*G6</f>
        <v>163.21279999999999</v>
      </c>
      <c r="AI6" s="150">
        <f>AH6</f>
        <v>163.21279999999999</v>
      </c>
      <c r="AJ6" s="126"/>
      <c r="AK6" s="126"/>
      <c r="AL6" s="126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</row>
    <row r="7" spans="1:56">
      <c r="A7" s="346"/>
      <c r="B7" s="149" t="s">
        <v>393</v>
      </c>
      <c r="C7" s="126">
        <v>7.98</v>
      </c>
      <c r="D7" s="126">
        <f>7.98</f>
        <v>7.98</v>
      </c>
      <c r="E7" s="126">
        <v>41.29</v>
      </c>
      <c r="F7" s="126">
        <f>71.86</f>
        <v>71.86</v>
      </c>
      <c r="G7" s="126">
        <v>3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50"/>
      <c r="T7" s="150"/>
      <c r="U7" s="150"/>
      <c r="V7" s="150">
        <f>F7</f>
        <v>71.86</v>
      </c>
      <c r="W7" s="150"/>
      <c r="X7" s="150"/>
      <c r="Y7" s="150">
        <f>E7</f>
        <v>41.29</v>
      </c>
      <c r="Z7" s="150"/>
      <c r="AA7" s="150">
        <f>F7</f>
        <v>71.86</v>
      </c>
      <c r="AB7" s="150">
        <f>E7</f>
        <v>41.29</v>
      </c>
      <c r="AC7" s="150">
        <f>AA7</f>
        <v>71.86</v>
      </c>
      <c r="AD7" s="150" t="s">
        <v>180</v>
      </c>
      <c r="AE7" s="150">
        <f t="shared" si="0"/>
        <v>71.86</v>
      </c>
      <c r="AF7" s="150"/>
      <c r="AG7" s="150">
        <f>(7.98+4+2.45+1.55+2.2+0.9+3.06+1.57+0.85+0.65)*3</f>
        <v>75.63</v>
      </c>
      <c r="AH7" s="150">
        <f>((7.98*4)+(3.04+4.65+4.65+1.97+3.07+3.07+3.54+2.42+4.65+3.85+3.85+3.54+3.95+3.95))*G7</f>
        <v>246.36</v>
      </c>
      <c r="AI7" s="150">
        <f>AH7</f>
        <v>246.36</v>
      </c>
      <c r="AJ7" s="126"/>
      <c r="AK7" s="126"/>
      <c r="AL7" s="126"/>
      <c r="AM7" s="150"/>
      <c r="AN7" s="150"/>
      <c r="AO7" s="150"/>
      <c r="AP7" s="150"/>
      <c r="AQ7" s="150"/>
      <c r="AR7" s="150">
        <v>2</v>
      </c>
      <c r="AS7" s="150">
        <v>1</v>
      </c>
      <c r="AT7" s="150">
        <v>1</v>
      </c>
      <c r="AU7" s="150">
        <v>2</v>
      </c>
      <c r="AV7" s="150"/>
      <c r="AW7" s="150"/>
      <c r="AX7" s="150"/>
      <c r="AY7" s="150"/>
      <c r="AZ7" s="150"/>
      <c r="BA7" s="150"/>
      <c r="BB7" s="150"/>
      <c r="BC7" s="150"/>
      <c r="BD7" s="150"/>
    </row>
    <row r="8" spans="1:56">
      <c r="A8" s="346"/>
      <c r="B8" s="149" t="s">
        <v>556</v>
      </c>
      <c r="C8" s="126">
        <v>2.0099999999999998</v>
      </c>
      <c r="D8" s="126">
        <v>1.62</v>
      </c>
      <c r="E8" s="126">
        <f>(2.01+1.62)*2</f>
        <v>7.26</v>
      </c>
      <c r="F8" s="126">
        <f>2.01*1.62</f>
        <v>3.2561999999999998</v>
      </c>
      <c r="G8" s="126">
        <v>3</v>
      </c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>
        <f>F8</f>
        <v>3.2561999999999998</v>
      </c>
      <c r="V8" s="126"/>
      <c r="W8" s="126"/>
      <c r="X8" s="126"/>
      <c r="Y8" s="150"/>
      <c r="Z8" s="126">
        <f>E8</f>
        <v>7.26</v>
      </c>
      <c r="AA8" s="150">
        <f>F8</f>
        <v>3.2561999999999998</v>
      </c>
      <c r="AB8" s="150">
        <f>E8</f>
        <v>7.26</v>
      </c>
      <c r="AC8" s="150">
        <f>AA8</f>
        <v>3.2561999999999998</v>
      </c>
      <c r="AD8" s="150" t="s">
        <v>180</v>
      </c>
      <c r="AE8" s="150">
        <f t="shared" si="0"/>
        <v>3.2561999999999998</v>
      </c>
      <c r="AF8" s="150"/>
      <c r="AG8" s="150"/>
      <c r="AH8" s="150">
        <f>(1.62+2.01+2.01+1.62)*G8</f>
        <v>21.78</v>
      </c>
      <c r="AI8" s="150">
        <f t="shared" ref="AI8" si="1">AH8</f>
        <v>21.78</v>
      </c>
      <c r="AJ8" s="126"/>
      <c r="AK8" s="126"/>
      <c r="AL8" s="126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>
        <v>1</v>
      </c>
      <c r="AY8" s="150">
        <v>1</v>
      </c>
      <c r="AZ8" s="150"/>
      <c r="BA8" s="150"/>
      <c r="BB8" s="150"/>
      <c r="BC8" s="150">
        <v>1</v>
      </c>
      <c r="BD8" s="150">
        <v>1</v>
      </c>
    </row>
    <row r="9" spans="1:56">
      <c r="A9" s="346"/>
      <c r="B9" s="149" t="s">
        <v>395</v>
      </c>
      <c r="C9" s="126">
        <v>4.37</v>
      </c>
      <c r="D9" s="126">
        <f>4.36+2.62+1.64+0.98</f>
        <v>9.6000000000000014</v>
      </c>
      <c r="E9" s="126">
        <f>((4.37*2)+(9.6*2))+(1.76*2)+(4.37*2)</f>
        <v>40.199999999999996</v>
      </c>
      <c r="F9" s="126">
        <f>(4.37*3.16)+(7.85*4.37)</f>
        <v>48.113699999999994</v>
      </c>
      <c r="G9" s="126">
        <v>2.85</v>
      </c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>
        <f>F9</f>
        <v>48.113699999999994</v>
      </c>
      <c r="V9" s="126"/>
      <c r="W9" s="126"/>
      <c r="X9" s="126"/>
      <c r="Y9" s="126"/>
      <c r="Z9" s="126">
        <f>E9</f>
        <v>40.199999999999996</v>
      </c>
      <c r="AA9" s="126"/>
      <c r="AB9" s="126"/>
      <c r="AC9" s="126"/>
      <c r="AD9" s="150">
        <f>F9</f>
        <v>48.113699999999994</v>
      </c>
      <c r="AE9" s="150">
        <f t="shared" si="0"/>
        <v>48.113699999999994</v>
      </c>
      <c r="AF9" s="126">
        <f>1*2.1*2</f>
        <v>4.2</v>
      </c>
      <c r="AG9" s="126">
        <f>4.37*2.85</f>
        <v>12.454500000000001</v>
      </c>
      <c r="AH9" s="150">
        <f>E9*G9</f>
        <v>114.57</v>
      </c>
      <c r="AI9" s="150">
        <f>AH9</f>
        <v>114.57</v>
      </c>
      <c r="AJ9" s="126"/>
      <c r="AK9" s="126"/>
      <c r="AL9" s="126"/>
      <c r="AM9" s="150"/>
      <c r="AN9" s="150"/>
      <c r="AO9" s="150"/>
      <c r="AP9" s="150"/>
      <c r="AQ9" s="150">
        <v>1</v>
      </c>
      <c r="AR9" s="150"/>
      <c r="AS9" s="150"/>
      <c r="AT9" s="150"/>
      <c r="AU9" s="150"/>
      <c r="AV9" s="150">
        <v>1</v>
      </c>
      <c r="AW9" s="150">
        <v>1</v>
      </c>
      <c r="AX9" s="150"/>
      <c r="AY9" s="150"/>
      <c r="AZ9" s="150"/>
      <c r="BA9" s="150"/>
      <c r="BB9" s="150"/>
      <c r="BC9" s="150"/>
      <c r="BD9" s="150"/>
    </row>
    <row r="10" spans="1:56">
      <c r="A10" s="346"/>
      <c r="B10" s="200" t="s">
        <v>661</v>
      </c>
      <c r="C10" s="126">
        <v>2.3199999999999998</v>
      </c>
      <c r="D10" s="126">
        <f>2.36+1.21</f>
        <v>3.57</v>
      </c>
      <c r="E10" s="126">
        <f>(C10*3)+1.48+1.48+2.38+2.38</f>
        <v>14.68</v>
      </c>
      <c r="F10" s="126">
        <f>D10*C10</f>
        <v>8.2823999999999991</v>
      </c>
      <c r="G10" s="126">
        <v>3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>
        <f>F10</f>
        <v>8.2823999999999991</v>
      </c>
      <c r="V10" s="126"/>
      <c r="W10" s="126"/>
      <c r="X10" s="126"/>
      <c r="Y10" s="126"/>
      <c r="Z10" s="126">
        <f>E10</f>
        <v>14.68</v>
      </c>
      <c r="AA10" s="126"/>
      <c r="AB10" s="126"/>
      <c r="AC10" s="126"/>
      <c r="AD10" s="126">
        <f>F10</f>
        <v>8.2823999999999991</v>
      </c>
      <c r="AE10" s="150">
        <f t="shared" si="0"/>
        <v>8.2823999999999991</v>
      </c>
      <c r="AF10" s="126">
        <f>0.8*2.1</f>
        <v>1.6800000000000002</v>
      </c>
      <c r="AG10" s="126">
        <f>2.32*3</f>
        <v>6.9599999999999991</v>
      </c>
      <c r="AH10" s="150"/>
      <c r="AI10" s="150"/>
      <c r="AJ10" s="126"/>
      <c r="AK10" s="126"/>
      <c r="AL10" s="126">
        <f>AF10+(AG10*2)</f>
        <v>15.599999999999998</v>
      </c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>
        <v>1</v>
      </c>
      <c r="AY10" s="150"/>
      <c r="AZ10" s="150"/>
      <c r="BA10" s="150"/>
      <c r="BB10" s="150">
        <v>1</v>
      </c>
      <c r="BC10" s="150"/>
      <c r="BD10" s="150">
        <v>1</v>
      </c>
    </row>
    <row r="11" spans="1:56">
      <c r="A11" s="346"/>
      <c r="B11" s="149" t="s">
        <v>396</v>
      </c>
      <c r="C11" s="126">
        <v>4</v>
      </c>
      <c r="D11" s="126">
        <v>8.91</v>
      </c>
      <c r="E11" s="126">
        <f>C11*2+D11*2</f>
        <v>25.82</v>
      </c>
      <c r="F11" s="126">
        <f>D11*C11</f>
        <v>35.64</v>
      </c>
      <c r="G11" s="126">
        <v>3</v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>
        <f>F11</f>
        <v>35.64</v>
      </c>
      <c r="V11" s="126"/>
      <c r="W11" s="126"/>
      <c r="X11" s="126"/>
      <c r="Y11" s="126"/>
      <c r="Z11" s="126">
        <f>E11</f>
        <v>25.82</v>
      </c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</row>
    <row r="12" spans="1:56">
      <c r="A12" s="346"/>
      <c r="B12" s="149" t="s">
        <v>696</v>
      </c>
      <c r="C12" s="126" t="s">
        <v>175</v>
      </c>
      <c r="D12" s="126" t="s">
        <v>175</v>
      </c>
      <c r="E12" s="126">
        <f>11.1+1.8+2.65+2.3+11.5+40.16+23.3+2.25+43.15</f>
        <v>138.20999999999998</v>
      </c>
      <c r="F12" s="126">
        <v>1063.8699999999999</v>
      </c>
      <c r="G12" s="126">
        <v>3</v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>
        <f>((4.55+4.55+2.28)*0.1*35)+((0.75+1.82+1.82)*0.1*5)+((4.55+4.55+2.28)+(0.9+4.55+4.55)*0.1)</f>
        <v>54.405000000000001</v>
      </c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>
        <f>((11.1+1.8+2.65+2.3+11.5+40.16)*G12)+((23.3+2.25+43.15)*G12)*2+((12+23.57+3.62)*G12)</f>
        <v>738.3</v>
      </c>
      <c r="AL12" s="126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</row>
    <row r="13" spans="1:56">
      <c r="A13" s="346"/>
      <c r="B13" s="149" t="s">
        <v>695</v>
      </c>
      <c r="C13" s="126" t="s">
        <v>175</v>
      </c>
      <c r="D13" s="126" t="s">
        <v>175</v>
      </c>
      <c r="E13" s="126"/>
      <c r="F13" s="126">
        <v>765.28</v>
      </c>
      <c r="G13" s="126">
        <v>3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>
        <f>F13+47</f>
        <v>812.28</v>
      </c>
      <c r="X13" s="126">
        <f>(((12*4.15)+29.75+(7*5)+18.5+(4*5)+9.9)*0.1)</f>
        <v>16.295000000000002</v>
      </c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</row>
    <row r="14" spans="1:56">
      <c r="A14" s="346"/>
      <c r="B14" s="149" t="s">
        <v>758</v>
      </c>
      <c r="C14" s="126">
        <v>2.52</v>
      </c>
      <c r="D14" s="126">
        <v>1.65</v>
      </c>
      <c r="E14" s="126">
        <f>(C14+D14)*2</f>
        <v>8.34</v>
      </c>
      <c r="F14" s="126">
        <f>C14*D14</f>
        <v>4.1579999999999995</v>
      </c>
      <c r="G14" s="126">
        <v>3</v>
      </c>
      <c r="H14" s="126">
        <f>4*3</f>
        <v>12</v>
      </c>
      <c r="I14" s="126">
        <f>(0.6+0.6+0.6+0.6)*4</f>
        <v>9.6</v>
      </c>
      <c r="J14" s="126">
        <f>4*0.6*0.6*0.6</f>
        <v>0.86399999999999999</v>
      </c>
      <c r="K14" s="126">
        <f>(2.52+2.52+1.65+1.65)*(0.3+0.3)</f>
        <v>5.0039999999999996</v>
      </c>
      <c r="L14" s="126">
        <f>0.15*0.3*(2.52+2.52+1.65+1.65)</f>
        <v>0.37529999999999997</v>
      </c>
      <c r="M14" s="126">
        <f>(0.14+0.3+0.3+0.14)*3*4</f>
        <v>10.56</v>
      </c>
      <c r="N14" s="126">
        <f>0.14*0.3*3*4</f>
        <v>0.504</v>
      </c>
      <c r="O14" s="126">
        <f>(2.52+2.52+1.65+1.65)*(0.3+0.3+0.14)</f>
        <v>6.1715999999999998</v>
      </c>
      <c r="P14" s="126">
        <f>(2.52+2.52+1.65+1.65)*0.3*0.14</f>
        <v>0.35027999999999998</v>
      </c>
      <c r="Q14" s="126">
        <f>2.01*2.88</f>
        <v>5.7887999999999993</v>
      </c>
      <c r="R14" s="126">
        <f>Q14*0.05</f>
        <v>0.28943999999999998</v>
      </c>
      <c r="S14" s="126">
        <f>F14</f>
        <v>4.1579999999999995</v>
      </c>
      <c r="T14" s="126"/>
      <c r="U14" s="126">
        <f>E14</f>
        <v>8.34</v>
      </c>
      <c r="V14" s="126"/>
      <c r="W14" s="126"/>
      <c r="X14" s="126"/>
      <c r="Y14" s="126"/>
      <c r="Z14" s="126">
        <f>U14</f>
        <v>8.34</v>
      </c>
      <c r="AA14" s="126"/>
      <c r="AB14" s="126"/>
      <c r="AC14" s="126"/>
      <c r="AD14" s="126"/>
      <c r="AE14" s="126"/>
      <c r="AF14" s="126">
        <f>E14*G14+(E14*1)</f>
        <v>33.36</v>
      </c>
      <c r="AG14" s="126"/>
      <c r="AH14" s="126">
        <f>(E14*1.8)+(C14+D14)*3</f>
        <v>27.521999999999998</v>
      </c>
      <c r="AI14" s="126">
        <f>AH14</f>
        <v>27.521999999999998</v>
      </c>
      <c r="AJ14" s="126"/>
      <c r="AK14" s="126"/>
      <c r="AL14" s="126">
        <f>E14*1.2</f>
        <v>10.007999999999999</v>
      </c>
      <c r="AM14" s="150"/>
      <c r="AN14" s="150"/>
      <c r="AO14" s="150">
        <v>1</v>
      </c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>
        <v>1</v>
      </c>
      <c r="BA14" s="150"/>
      <c r="BB14" s="150"/>
      <c r="BC14" s="150"/>
      <c r="BD14" s="150"/>
    </row>
    <row r="15" spans="1:56">
      <c r="A15" s="346"/>
      <c r="B15" s="149" t="s">
        <v>759</v>
      </c>
      <c r="C15" s="126" t="s">
        <v>360</v>
      </c>
      <c r="D15" s="126" t="s">
        <v>175</v>
      </c>
      <c r="E15" s="126">
        <f>4.64+8.2+2.75+1+1+2.75+2.51+5.8+2+14</f>
        <v>44.650000000000006</v>
      </c>
      <c r="F15" s="126">
        <f>(4.64*8.2)+(1*2.75)+(5.8*2)</f>
        <v>52.397999999999996</v>
      </c>
      <c r="G15" s="126">
        <v>4.5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>
        <f>F15</f>
        <v>52.397999999999996</v>
      </c>
      <c r="T15" s="126">
        <f>F15</f>
        <v>52.397999999999996</v>
      </c>
      <c r="U15" s="126"/>
      <c r="V15" s="126">
        <f>F15</f>
        <v>52.397999999999996</v>
      </c>
      <c r="W15" s="126"/>
      <c r="X15" s="126"/>
      <c r="Y15" s="126">
        <f>E15</f>
        <v>44.650000000000006</v>
      </c>
      <c r="Z15" s="126"/>
      <c r="AA15" s="126"/>
      <c r="AB15" s="126"/>
      <c r="AC15" s="126"/>
      <c r="AD15" s="126"/>
      <c r="AE15" s="126"/>
      <c r="AF15" s="126"/>
      <c r="AG15" s="126">
        <f>(4.81+2.51+5.8+2.3)*3</f>
        <v>46.259999999999991</v>
      </c>
      <c r="AH15" s="126">
        <f>E15*G15</f>
        <v>200.92500000000001</v>
      </c>
      <c r="AI15" s="126">
        <f>E15*G15</f>
        <v>200.92500000000001</v>
      </c>
      <c r="AJ15" s="126"/>
      <c r="AK15" s="126"/>
      <c r="AL15" s="126"/>
      <c r="AM15" s="150">
        <v>1</v>
      </c>
      <c r="AN15" s="150">
        <v>1</v>
      </c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</row>
    <row r="16" spans="1:56">
      <c r="A16" s="346"/>
      <c r="B16" s="149" t="s">
        <v>858</v>
      </c>
      <c r="C16" s="126">
        <v>6.25</v>
      </c>
      <c r="D16" s="126">
        <v>6.41</v>
      </c>
      <c r="E16" s="126">
        <f>2.95*4+2.85*4+3.01*4+2.95*4</f>
        <v>47.040000000000006</v>
      </c>
      <c r="F16" s="126">
        <f>C16*D16</f>
        <v>40.0625</v>
      </c>
      <c r="G16" s="126">
        <v>2.85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>
        <f>E16*G16</f>
        <v>134.06400000000002</v>
      </c>
      <c r="AI16" s="126">
        <f>AH16</f>
        <v>134.06400000000002</v>
      </c>
      <c r="AJ16" s="126"/>
      <c r="AK16" s="126"/>
      <c r="AL16" s="126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</row>
    <row r="17" spans="1:56">
      <c r="A17" s="346"/>
      <c r="B17" s="149" t="s">
        <v>859</v>
      </c>
      <c r="C17" s="126">
        <v>1.2</v>
      </c>
      <c r="D17" s="126">
        <v>1.35</v>
      </c>
      <c r="E17" s="126">
        <f>(C17+D17+C17+D17)*2</f>
        <v>10.199999999999999</v>
      </c>
      <c r="F17" s="126">
        <f>C17*D17</f>
        <v>1.62</v>
      </c>
      <c r="G17" s="126">
        <v>2.85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>
        <f>E17*G17</f>
        <v>29.07</v>
      </c>
      <c r="AI17" s="126">
        <f>AH17</f>
        <v>29.07</v>
      </c>
      <c r="AJ17" s="126"/>
      <c r="AK17" s="126"/>
      <c r="AL17" s="126">
        <f>E17*G17</f>
        <v>29.07</v>
      </c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</row>
    <row r="18" spans="1:56">
      <c r="A18" s="346"/>
      <c r="B18" s="125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</row>
    <row r="19" spans="1:56">
      <c r="A19" s="346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</row>
    <row r="20" spans="1:56">
      <c r="A20" s="346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</row>
    <row r="21" spans="1:56">
      <c r="A21" s="346"/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</row>
    <row r="22" spans="1:56">
      <c r="A22" s="346"/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</row>
    <row r="23" spans="1:56">
      <c r="A23" s="346"/>
      <c r="B23" s="125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</row>
    <row r="24" spans="1:56">
      <c r="A24" s="346"/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</row>
    <row r="25" spans="1:56">
      <c r="A25" s="346"/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</row>
    <row r="26" spans="1:56">
      <c r="A26" s="346"/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</row>
    <row r="27" spans="1:56">
      <c r="A27" s="346"/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</row>
    <row r="28" spans="1:56">
      <c r="A28" s="346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</row>
    <row r="29" spans="1:56">
      <c r="A29" s="346"/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</row>
    <row r="30" spans="1:56">
      <c r="A30" s="346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</row>
    <row r="31" spans="1:56">
      <c r="A31" s="346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</row>
    <row r="32" spans="1:56">
      <c r="A32" s="346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</row>
    <row r="33" spans="1:56">
      <c r="A33" s="346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</row>
    <row r="34" spans="1:56">
      <c r="A34" s="346"/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</row>
    <row r="35" spans="1:56">
      <c r="A35" s="346"/>
      <c r="B35" s="125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</row>
    <row r="36" spans="1:56">
      <c r="A36" s="346"/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</row>
    <row r="37" spans="1:56">
      <c r="A37" s="346"/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</row>
    <row r="38" spans="1:56">
      <c r="A38" s="346"/>
      <c r="B38" s="125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</row>
    <row r="39" spans="1:56">
      <c r="A39" s="346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</row>
    <row r="40" spans="1:56" ht="9" customHeight="1"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</row>
    <row r="41" spans="1:56">
      <c r="B41" s="347" t="s">
        <v>143</v>
      </c>
      <c r="C41" s="348"/>
      <c r="D41" s="348"/>
      <c r="E41" s="348"/>
      <c r="F41" s="348"/>
      <c r="G41" s="349"/>
      <c r="H41" s="229">
        <f t="shared" ref="H41:BC41" si="2">SUM(H5:H40)</f>
        <v>12</v>
      </c>
      <c r="I41" s="229">
        <f t="shared" si="2"/>
        <v>9.6</v>
      </c>
      <c r="J41" s="229">
        <f t="shared" si="2"/>
        <v>0.86399999999999999</v>
      </c>
      <c r="K41" s="229">
        <f t="shared" si="2"/>
        <v>5.0039999999999996</v>
      </c>
      <c r="L41" s="229">
        <f t="shared" si="2"/>
        <v>0.37529999999999997</v>
      </c>
      <c r="M41" s="229">
        <f>SUM(M5:M40)</f>
        <v>10.56</v>
      </c>
      <c r="N41" s="229">
        <f t="shared" si="2"/>
        <v>0.504</v>
      </c>
      <c r="O41" s="229">
        <f t="shared" si="2"/>
        <v>6.1715999999999998</v>
      </c>
      <c r="P41" s="229">
        <f t="shared" si="2"/>
        <v>0.35027999999999998</v>
      </c>
      <c r="Q41" s="229">
        <f t="shared" si="2"/>
        <v>5.7887999999999993</v>
      </c>
      <c r="R41" s="229">
        <f t="shared" si="2"/>
        <v>0.28943999999999998</v>
      </c>
      <c r="S41" s="229">
        <f t="shared" si="2"/>
        <v>228.68249999999998</v>
      </c>
      <c r="T41" s="229">
        <f t="shared" si="2"/>
        <v>224.52449999999999</v>
      </c>
      <c r="U41" s="229">
        <f t="shared" si="2"/>
        <v>275.75879999999995</v>
      </c>
      <c r="V41" s="229">
        <f t="shared" si="2"/>
        <v>124.258</v>
      </c>
      <c r="W41" s="229">
        <f t="shared" si="2"/>
        <v>812.28</v>
      </c>
      <c r="X41" s="229"/>
      <c r="Y41" s="229">
        <f t="shared" si="2"/>
        <v>125.35</v>
      </c>
      <c r="Z41" s="229">
        <f t="shared" si="2"/>
        <v>148.78</v>
      </c>
      <c r="AA41" s="229">
        <f t="shared" si="2"/>
        <v>137.62270000000001</v>
      </c>
      <c r="AB41" s="229">
        <f t="shared" si="2"/>
        <v>87.96</v>
      </c>
      <c r="AC41" s="229">
        <f t="shared" si="2"/>
        <v>137.62270000000001</v>
      </c>
      <c r="AD41" s="229">
        <f t="shared" si="2"/>
        <v>166.01609999999999</v>
      </c>
      <c r="AE41" s="229">
        <f t="shared" si="2"/>
        <v>303.6388</v>
      </c>
      <c r="AF41" s="229">
        <f t="shared" si="2"/>
        <v>39.24</v>
      </c>
      <c r="AG41" s="229">
        <f t="shared" si="2"/>
        <v>141.30449999999996</v>
      </c>
      <c r="AH41" s="229">
        <f t="shared" si="2"/>
        <v>1041.9403</v>
      </c>
      <c r="AI41" s="229">
        <f t="shared" si="2"/>
        <v>1041.9403</v>
      </c>
      <c r="AJ41" s="229">
        <f t="shared" si="2"/>
        <v>0</v>
      </c>
      <c r="AK41" s="229">
        <f t="shared" si="2"/>
        <v>738.3</v>
      </c>
      <c r="AL41" s="229">
        <f t="shared" si="2"/>
        <v>54.677999999999997</v>
      </c>
      <c r="AM41" s="229"/>
      <c r="AN41" s="229"/>
      <c r="AO41" s="229">
        <f t="shared" si="2"/>
        <v>1</v>
      </c>
      <c r="AP41" s="229">
        <f t="shared" si="2"/>
        <v>1</v>
      </c>
      <c r="AQ41" s="229">
        <f t="shared" si="2"/>
        <v>1</v>
      </c>
      <c r="AR41" s="229">
        <f t="shared" si="2"/>
        <v>2</v>
      </c>
      <c r="AS41" s="229">
        <f t="shared" si="2"/>
        <v>1</v>
      </c>
      <c r="AT41" s="229">
        <f t="shared" si="2"/>
        <v>1</v>
      </c>
      <c r="AU41" s="229">
        <f t="shared" si="2"/>
        <v>2</v>
      </c>
      <c r="AV41" s="229">
        <f t="shared" si="2"/>
        <v>1</v>
      </c>
      <c r="AW41" s="229">
        <f t="shared" si="2"/>
        <v>1</v>
      </c>
      <c r="AX41" s="229">
        <f t="shared" si="2"/>
        <v>2</v>
      </c>
      <c r="AY41" s="229">
        <f t="shared" si="2"/>
        <v>1</v>
      </c>
      <c r="AZ41" s="229">
        <f t="shared" si="2"/>
        <v>1</v>
      </c>
      <c r="BA41" s="229">
        <f t="shared" si="2"/>
        <v>0</v>
      </c>
      <c r="BB41" s="229">
        <f t="shared" si="2"/>
        <v>1</v>
      </c>
      <c r="BC41" s="229">
        <f t="shared" si="2"/>
        <v>1</v>
      </c>
      <c r="BD41" s="229">
        <f>SUM(BD5:BD40)</f>
        <v>2</v>
      </c>
    </row>
    <row r="44" spans="1:56">
      <c r="S44" s="353"/>
      <c r="T44" s="353"/>
      <c r="U44" s="353"/>
      <c r="V44" s="152"/>
      <c r="W44" s="152"/>
      <c r="X44" s="152"/>
      <c r="Y44" s="151"/>
      <c r="Z44" s="151"/>
      <c r="AA44" s="151"/>
      <c r="AB44" s="151"/>
      <c r="AC44" s="353"/>
      <c r="AD44" s="353"/>
      <c r="AE44" s="353"/>
      <c r="AF44" s="353"/>
      <c r="AG44" s="353"/>
      <c r="AH44" s="353"/>
      <c r="AI44" s="353"/>
      <c r="AJ44" s="152"/>
      <c r="AK44" s="152"/>
      <c r="AL44" s="152"/>
      <c r="AM44" s="152"/>
      <c r="AN44" s="152"/>
      <c r="AO44" s="152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</row>
    <row r="45" spans="1:56">
      <c r="S45" s="353"/>
      <c r="T45" s="353"/>
      <c r="U45" s="353"/>
      <c r="V45" s="152"/>
      <c r="W45" s="152"/>
      <c r="X45" s="152"/>
      <c r="Y45" s="151"/>
      <c r="Z45" s="151"/>
      <c r="AA45" s="151"/>
      <c r="AB45" s="151"/>
      <c r="AC45" s="353"/>
      <c r="AD45" s="353"/>
      <c r="AE45" s="353"/>
      <c r="AF45" s="353"/>
      <c r="AG45" s="353"/>
      <c r="AH45" s="353"/>
      <c r="AI45" s="353"/>
      <c r="AJ45" s="152"/>
      <c r="AK45" s="152"/>
      <c r="AL45" s="152"/>
      <c r="AM45" s="152"/>
      <c r="AN45" s="152"/>
      <c r="AO45" s="152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</row>
    <row r="46" spans="1:56">
      <c r="S46" s="353"/>
      <c r="T46" s="353"/>
      <c r="U46" s="353"/>
      <c r="V46" s="152"/>
      <c r="W46" s="152"/>
      <c r="X46" s="152"/>
      <c r="Y46" s="151"/>
      <c r="Z46" s="151"/>
      <c r="AA46" s="151"/>
      <c r="AB46" s="151"/>
      <c r="AC46" s="353"/>
      <c r="AD46" s="353"/>
      <c r="AE46" s="353"/>
      <c r="AF46" s="353"/>
      <c r="AG46" s="353"/>
      <c r="AH46" s="353"/>
      <c r="AI46" s="353"/>
      <c r="AJ46" s="152"/>
      <c r="AK46" s="152"/>
      <c r="AL46" s="152"/>
      <c r="AM46" s="152"/>
      <c r="AN46" s="152"/>
      <c r="AO46" s="152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</row>
    <row r="47" spans="1:56"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</row>
    <row r="48" spans="1:56"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</row>
  </sheetData>
  <mergeCells count="16">
    <mergeCell ref="AA1:AI1"/>
    <mergeCell ref="AA3:AE3"/>
    <mergeCell ref="S46:U46"/>
    <mergeCell ref="AC46:AI46"/>
    <mergeCell ref="S45:U45"/>
    <mergeCell ref="AC45:AI45"/>
    <mergeCell ref="Y3:Z3"/>
    <mergeCell ref="S3:X3"/>
    <mergeCell ref="A5:A39"/>
    <mergeCell ref="B41:G41"/>
    <mergeCell ref="AX3:BD3"/>
    <mergeCell ref="S44:U44"/>
    <mergeCell ref="AC44:AI44"/>
    <mergeCell ref="AF3:AL3"/>
    <mergeCell ref="H3:R3"/>
    <mergeCell ref="AM3:AW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4" fitToWidth="4" orientation="landscape" r:id="rId1"/>
  <colBreaks count="2" manualBreakCount="2">
    <brk id="20" max="41" man="1"/>
    <brk id="4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07"/>
  <sheetViews>
    <sheetView showGridLines="0" view="pageBreakPreview" zoomScale="115" zoomScaleNormal="130" zoomScaleSheetLayoutView="115" workbookViewId="0">
      <selection activeCell="F103" sqref="F103"/>
    </sheetView>
  </sheetViews>
  <sheetFormatPr defaultColWidth="9.140625" defaultRowHeight="14.25"/>
  <cols>
    <col min="1" max="1" width="2.140625" style="82" customWidth="1"/>
    <col min="2" max="2" width="10.85546875" style="82" customWidth="1"/>
    <col min="3" max="3" width="10.140625" style="82" bestFit="1" customWidth="1"/>
    <col min="4" max="4" width="62.7109375" style="82" customWidth="1"/>
    <col min="5" max="5" width="7.7109375" style="82" customWidth="1"/>
    <col min="6" max="6" width="11.28515625" style="82" customWidth="1"/>
    <col min="7" max="8" width="12.85546875" style="82" customWidth="1"/>
    <col min="9" max="9" width="2.140625" style="82" customWidth="1"/>
    <col min="10" max="16384" width="9.140625" style="82"/>
  </cols>
  <sheetData>
    <row r="1" spans="2:9" ht="23.25" customHeight="1">
      <c r="B1" s="359" t="s">
        <v>1199</v>
      </c>
      <c r="C1" s="359"/>
      <c r="D1" s="359"/>
      <c r="E1" s="359"/>
      <c r="F1" s="359"/>
      <c r="G1" s="359"/>
      <c r="H1" s="359"/>
      <c r="I1" s="359"/>
    </row>
    <row r="2" spans="2:9" ht="40.5" customHeight="1">
      <c r="B2" s="358"/>
      <c r="C2" s="358"/>
      <c r="D2" s="358"/>
      <c r="E2" s="358"/>
      <c r="F2" s="358"/>
      <c r="G2" s="358"/>
      <c r="H2" s="358"/>
    </row>
    <row r="3" spans="2:9" ht="44.25" customHeight="1">
      <c r="B3" s="359"/>
      <c r="C3" s="359"/>
      <c r="D3" s="359"/>
      <c r="E3" s="359"/>
      <c r="F3" s="359"/>
      <c r="G3" s="359"/>
      <c r="H3" s="359"/>
    </row>
    <row r="4" spans="2:9" s="85" customFormat="1" ht="15.75" customHeight="1">
      <c r="B4" s="360" t="s">
        <v>46</v>
      </c>
      <c r="C4" s="360"/>
      <c r="D4" s="83" t="str">
        <f>'DADOS CURVA ABC'!H6</f>
        <v>SINAPI SP 08/2024 (Desonerado)
CDH SP 05/2024</v>
      </c>
      <c r="E4" s="84"/>
      <c r="F4" s="84"/>
      <c r="G4" s="84"/>
      <c r="H4" s="84"/>
    </row>
    <row r="5" spans="2:9" s="85" customFormat="1" ht="5.25" customHeight="1">
      <c r="B5" s="86"/>
      <c r="C5" s="86"/>
      <c r="D5" s="87"/>
      <c r="E5" s="88"/>
      <c r="F5" s="88"/>
      <c r="G5" s="88"/>
      <c r="H5" s="88"/>
    </row>
    <row r="6" spans="2:9" s="85" customFormat="1" ht="15.75" customHeight="1">
      <c r="B6" s="88" t="s">
        <v>47</v>
      </c>
      <c r="C6" s="88" t="s">
        <v>3</v>
      </c>
      <c r="D6" s="88" t="s">
        <v>48</v>
      </c>
      <c r="E6" s="88" t="s">
        <v>49</v>
      </c>
      <c r="F6" s="88" t="s">
        <v>50</v>
      </c>
      <c r="G6" s="89" t="s">
        <v>51</v>
      </c>
      <c r="H6" s="88" t="s">
        <v>38</v>
      </c>
    </row>
    <row r="7" spans="2:9" s="85" customFormat="1" ht="18">
      <c r="B7" s="183" t="s">
        <v>62</v>
      </c>
      <c r="C7" s="183" t="s">
        <v>63</v>
      </c>
      <c r="D7" s="184" t="s">
        <v>183</v>
      </c>
      <c r="E7" s="183" t="s">
        <v>43</v>
      </c>
      <c r="F7" s="185"/>
      <c r="G7" s="185"/>
      <c r="H7" s="186">
        <f>SUM(H8:H11)</f>
        <v>107.32</v>
      </c>
    </row>
    <row r="8" spans="2:9" s="85" customFormat="1" ht="9">
      <c r="B8" s="187" t="s">
        <v>71</v>
      </c>
      <c r="C8" s="187" t="s">
        <v>116</v>
      </c>
      <c r="D8" s="188" t="s">
        <v>117</v>
      </c>
      <c r="E8" s="189" t="s">
        <v>52</v>
      </c>
      <c r="F8" s="190">
        <v>0.10299999999999999</v>
      </c>
      <c r="G8" s="191">
        <v>30.19</v>
      </c>
      <c r="H8" s="191">
        <f>ROUND(F8*G8,2)</f>
        <v>3.11</v>
      </c>
    </row>
    <row r="9" spans="2:9" s="85" customFormat="1" ht="9">
      <c r="B9" s="187" t="s">
        <v>71</v>
      </c>
      <c r="C9" s="187" t="s">
        <v>73</v>
      </c>
      <c r="D9" s="188" t="s">
        <v>74</v>
      </c>
      <c r="E9" s="189" t="s">
        <v>52</v>
      </c>
      <c r="F9" s="190">
        <v>5.1999999999999998E-2</v>
      </c>
      <c r="G9" s="191">
        <v>26.19</v>
      </c>
      <c r="H9" s="191">
        <f>ROUND(F9*G9,2)</f>
        <v>1.36</v>
      </c>
    </row>
    <row r="10" spans="2:9" s="85" customFormat="1" ht="9">
      <c r="B10" s="187" t="s">
        <v>71</v>
      </c>
      <c r="C10" s="187" t="s">
        <v>181</v>
      </c>
      <c r="D10" s="188" t="s">
        <v>182</v>
      </c>
      <c r="E10" s="189" t="s">
        <v>88</v>
      </c>
      <c r="F10" s="190">
        <v>0.33</v>
      </c>
      <c r="G10" s="191">
        <v>49.59</v>
      </c>
      <c r="H10" s="191">
        <f>ROUND(F10*G10,2)</f>
        <v>16.36</v>
      </c>
    </row>
    <row r="11" spans="2:9" s="85" customFormat="1" ht="12.75" customHeight="1">
      <c r="B11" s="187" t="s">
        <v>161</v>
      </c>
      <c r="C11" s="187" t="s">
        <v>180</v>
      </c>
      <c r="D11" s="188" t="s">
        <v>179</v>
      </c>
      <c r="E11" s="189" t="s">
        <v>43</v>
      </c>
      <c r="F11" s="190">
        <v>1.34</v>
      </c>
      <c r="G11" s="191">
        <f>154.9/2.4</f>
        <v>64.541666666666671</v>
      </c>
      <c r="H11" s="191">
        <f>ROUND(F11*G11,2)</f>
        <v>86.49</v>
      </c>
    </row>
    <row r="12" spans="2:9" s="85" customFormat="1" ht="9">
      <c r="B12" s="90"/>
      <c r="C12" s="91"/>
      <c r="D12" s="92"/>
      <c r="E12" s="90"/>
      <c r="F12" s="90"/>
      <c r="G12" s="90"/>
      <c r="H12" s="90"/>
    </row>
    <row r="13" spans="2:9" s="85" customFormat="1" ht="18">
      <c r="B13" s="183" t="s">
        <v>62</v>
      </c>
      <c r="C13" s="183" t="s">
        <v>80</v>
      </c>
      <c r="D13" s="184" t="s">
        <v>330</v>
      </c>
      <c r="E13" s="183" t="s">
        <v>251</v>
      </c>
      <c r="F13" s="185"/>
      <c r="G13" s="185"/>
      <c r="H13" s="186">
        <f>SUM(H14:H16)</f>
        <v>384.5</v>
      </c>
    </row>
    <row r="14" spans="2:9" s="85" customFormat="1" ht="9">
      <c r="B14" s="187" t="s">
        <v>71</v>
      </c>
      <c r="C14" s="187" t="s">
        <v>333</v>
      </c>
      <c r="D14" s="188" t="s">
        <v>331</v>
      </c>
      <c r="E14" s="189" t="s">
        <v>52</v>
      </c>
      <c r="F14" s="190">
        <v>1</v>
      </c>
      <c r="G14" s="191">
        <v>27.24</v>
      </c>
      <c r="H14" s="191">
        <f>ROUND(F14*G14,2)</f>
        <v>27.24</v>
      </c>
    </row>
    <row r="15" spans="2:9" s="85" customFormat="1" ht="9">
      <c r="B15" s="187" t="s">
        <v>71</v>
      </c>
      <c r="C15" s="187" t="s">
        <v>334</v>
      </c>
      <c r="D15" s="188" t="s">
        <v>332</v>
      </c>
      <c r="E15" s="189" t="s">
        <v>52</v>
      </c>
      <c r="F15" s="190">
        <v>1</v>
      </c>
      <c r="G15" s="191">
        <v>37.36</v>
      </c>
      <c r="H15" s="191">
        <f>ROUND(F15*G15,2)</f>
        <v>37.36</v>
      </c>
    </row>
    <row r="16" spans="2:9" s="85" customFormat="1" ht="9">
      <c r="B16" s="187" t="s">
        <v>161</v>
      </c>
      <c r="C16" s="187" t="s">
        <v>180</v>
      </c>
      <c r="D16" s="188" t="s">
        <v>325</v>
      </c>
      <c r="E16" s="189" t="s">
        <v>251</v>
      </c>
      <c r="F16" s="190">
        <v>1</v>
      </c>
      <c r="G16" s="191">
        <v>319.89999999999998</v>
      </c>
      <c r="H16" s="191">
        <f>ROUND(F16*G16,2)</f>
        <v>319.89999999999998</v>
      </c>
    </row>
    <row r="17" spans="2:8" s="85" customFormat="1" ht="9">
      <c r="B17" s="90"/>
      <c r="C17" s="91"/>
      <c r="D17" s="92"/>
      <c r="E17" s="90"/>
      <c r="F17" s="90"/>
      <c r="G17" s="90"/>
      <c r="H17" s="90"/>
    </row>
    <row r="18" spans="2:8" s="85" customFormat="1" ht="18">
      <c r="B18" s="183" t="s">
        <v>62</v>
      </c>
      <c r="C18" s="183" t="s">
        <v>84</v>
      </c>
      <c r="D18" s="184" t="s">
        <v>340</v>
      </c>
      <c r="E18" s="183" t="s">
        <v>42</v>
      </c>
      <c r="F18" s="185"/>
      <c r="G18" s="185"/>
      <c r="H18" s="186">
        <f>SUM(H19:H20)</f>
        <v>2.9</v>
      </c>
    </row>
    <row r="19" spans="2:8" s="85" customFormat="1" ht="9">
      <c r="B19" s="187" t="s">
        <v>70</v>
      </c>
      <c r="C19" s="187" t="s">
        <v>352</v>
      </c>
      <c r="D19" s="188" t="s">
        <v>351</v>
      </c>
      <c r="E19" s="189" t="s">
        <v>72</v>
      </c>
      <c r="F19" s="190">
        <v>0.24590000000000001</v>
      </c>
      <c r="G19" s="191">
        <v>1.1000000000000001</v>
      </c>
      <c r="H19" s="191">
        <f>ROUND(F19*G19,2)</f>
        <v>0.27</v>
      </c>
    </row>
    <row r="20" spans="2:8" s="85" customFormat="1" ht="9">
      <c r="B20" s="187" t="s">
        <v>71</v>
      </c>
      <c r="C20" s="187" t="s">
        <v>350</v>
      </c>
      <c r="D20" s="188" t="s">
        <v>869</v>
      </c>
      <c r="E20" s="189" t="s">
        <v>52</v>
      </c>
      <c r="F20" s="190">
        <v>8.2000000000000003E-2</v>
      </c>
      <c r="G20" s="191">
        <v>32.130000000000003</v>
      </c>
      <c r="H20" s="191">
        <f>ROUND(F20*G20,2)</f>
        <v>2.63</v>
      </c>
    </row>
    <row r="21" spans="2:8" s="85" customFormat="1" ht="9">
      <c r="B21" s="90"/>
      <c r="C21" s="91"/>
      <c r="D21" s="92"/>
      <c r="E21" s="90"/>
      <c r="F21" s="90"/>
      <c r="G21" s="90"/>
      <c r="H21" s="90"/>
    </row>
    <row r="22" spans="2:8" s="85" customFormat="1" ht="18">
      <c r="B22" s="183" t="s">
        <v>62</v>
      </c>
      <c r="C22" s="183" t="s">
        <v>118</v>
      </c>
      <c r="D22" s="184" t="s">
        <v>339</v>
      </c>
      <c r="E22" s="183" t="s">
        <v>42</v>
      </c>
      <c r="F22" s="185"/>
      <c r="G22" s="185"/>
      <c r="H22" s="186">
        <f>SUM(H23:H24)</f>
        <v>5.74</v>
      </c>
    </row>
    <row r="23" spans="2:8" s="85" customFormat="1" ht="9">
      <c r="B23" s="187" t="s">
        <v>70</v>
      </c>
      <c r="C23" s="187" t="s">
        <v>352</v>
      </c>
      <c r="D23" s="188" t="s">
        <v>351</v>
      </c>
      <c r="E23" s="189" t="s">
        <v>72</v>
      </c>
      <c r="F23" s="190" t="s">
        <v>349</v>
      </c>
      <c r="G23" s="191">
        <v>1.1000000000000001</v>
      </c>
      <c r="H23" s="191">
        <f>ROUND(F23*G23,2)</f>
        <v>0.33</v>
      </c>
    </row>
    <row r="24" spans="2:8" s="85" customFormat="1" ht="9">
      <c r="B24" s="187" t="s">
        <v>71</v>
      </c>
      <c r="C24" s="187" t="s">
        <v>350</v>
      </c>
      <c r="D24" s="188" t="s">
        <v>869</v>
      </c>
      <c r="E24" s="189" t="s">
        <v>52</v>
      </c>
      <c r="F24" s="190">
        <v>0.16850000000000001</v>
      </c>
      <c r="G24" s="191">
        <v>32.130000000000003</v>
      </c>
      <c r="H24" s="191">
        <f>ROUND(F24*G24,2)</f>
        <v>5.41</v>
      </c>
    </row>
    <row r="25" spans="2:8" s="85" customFormat="1" ht="9">
      <c r="B25" s="90"/>
      <c r="C25" s="91"/>
      <c r="D25" s="92"/>
      <c r="E25" s="90"/>
      <c r="F25" s="90"/>
      <c r="G25" s="90"/>
      <c r="H25" s="90"/>
    </row>
    <row r="26" spans="2:8" s="85" customFormat="1" ht="18">
      <c r="B26" s="183" t="s">
        <v>62</v>
      </c>
      <c r="C26" s="183" t="s">
        <v>126</v>
      </c>
      <c r="D26" s="184" t="s">
        <v>488</v>
      </c>
      <c r="E26" s="183" t="s">
        <v>43</v>
      </c>
      <c r="F26" s="185"/>
      <c r="G26" s="185"/>
      <c r="H26" s="186">
        <f>SUM(H27:H31)</f>
        <v>860.4</v>
      </c>
    </row>
    <row r="27" spans="2:8" s="85" customFormat="1" ht="18">
      <c r="B27" s="187" t="s">
        <v>70</v>
      </c>
      <c r="C27" s="187" t="s">
        <v>489</v>
      </c>
      <c r="D27" s="188" t="s">
        <v>491</v>
      </c>
      <c r="E27" s="189" t="s">
        <v>44</v>
      </c>
      <c r="F27" s="190">
        <v>4.1000000000000002E-2</v>
      </c>
      <c r="G27" s="191">
        <v>752.03</v>
      </c>
      <c r="H27" s="191">
        <f>ROUND(F27*G27,2)</f>
        <v>30.83</v>
      </c>
    </row>
    <row r="28" spans="2:8" s="85" customFormat="1" ht="9">
      <c r="B28" s="187" t="s">
        <v>71</v>
      </c>
      <c r="C28" s="190" t="s">
        <v>73</v>
      </c>
      <c r="D28" s="188" t="s">
        <v>74</v>
      </c>
      <c r="E28" s="189" t="s">
        <v>52</v>
      </c>
      <c r="F28" s="190">
        <v>2</v>
      </c>
      <c r="G28" s="191">
        <v>26.19</v>
      </c>
      <c r="H28" s="191">
        <f t="shared" ref="H28:H30" si="0">ROUND(F28*G28,2)</f>
        <v>52.38</v>
      </c>
    </row>
    <row r="29" spans="2:8" s="85" customFormat="1" ht="9">
      <c r="B29" s="187" t="s">
        <v>71</v>
      </c>
      <c r="C29" s="187" t="s">
        <v>116</v>
      </c>
      <c r="D29" s="188" t="s">
        <v>117</v>
      </c>
      <c r="E29" s="189" t="s">
        <v>52</v>
      </c>
      <c r="F29" s="190">
        <v>1.96</v>
      </c>
      <c r="G29" s="191">
        <v>30.19</v>
      </c>
      <c r="H29" s="191">
        <f t="shared" si="0"/>
        <v>59.17</v>
      </c>
    </row>
    <row r="30" spans="2:8" s="85" customFormat="1" ht="18">
      <c r="B30" s="187" t="s">
        <v>71</v>
      </c>
      <c r="C30" s="190" t="s">
        <v>490</v>
      </c>
      <c r="D30" s="188" t="s">
        <v>492</v>
      </c>
      <c r="E30" s="189" t="s">
        <v>42</v>
      </c>
      <c r="F30" s="190">
        <v>1</v>
      </c>
      <c r="G30" s="191">
        <v>701.88</v>
      </c>
      <c r="H30" s="191">
        <f t="shared" si="0"/>
        <v>701.88</v>
      </c>
    </row>
    <row r="31" spans="2:8" s="85" customFormat="1" ht="9">
      <c r="B31" s="187" t="s">
        <v>71</v>
      </c>
      <c r="C31" s="187" t="s">
        <v>153</v>
      </c>
      <c r="D31" s="188" t="s">
        <v>493</v>
      </c>
      <c r="E31" s="189" t="s">
        <v>88</v>
      </c>
      <c r="F31" s="190">
        <v>0.4</v>
      </c>
      <c r="G31" s="191">
        <v>40.35</v>
      </c>
      <c r="H31" s="191">
        <f>ROUND(F31*G31,2)</f>
        <v>16.14</v>
      </c>
    </row>
    <row r="32" spans="2:8" s="85" customFormat="1" ht="9">
      <c r="B32" s="90"/>
      <c r="C32" s="91"/>
      <c r="D32" s="92"/>
      <c r="E32" s="90"/>
      <c r="F32" s="90"/>
      <c r="G32" s="90"/>
      <c r="H32" s="90"/>
    </row>
    <row r="33" spans="2:8" s="85" customFormat="1" ht="19.5" customHeight="1">
      <c r="B33" s="183" t="s">
        <v>62</v>
      </c>
      <c r="C33" s="183" t="s">
        <v>127</v>
      </c>
      <c r="D33" s="184" t="s">
        <v>571</v>
      </c>
      <c r="E33" s="183" t="s">
        <v>42</v>
      </c>
      <c r="F33" s="185"/>
      <c r="G33" s="185"/>
      <c r="H33" s="186">
        <f>SUM(H34:H36)</f>
        <v>2.17</v>
      </c>
    </row>
    <row r="34" spans="2:8" s="85" customFormat="1" ht="9">
      <c r="B34" s="187" t="s">
        <v>70</v>
      </c>
      <c r="C34" s="187" t="s">
        <v>567</v>
      </c>
      <c r="D34" s="188" t="s">
        <v>568</v>
      </c>
      <c r="E34" s="189" t="s">
        <v>25</v>
      </c>
      <c r="F34" s="190">
        <v>4.3999999999999997E-2</v>
      </c>
      <c r="G34" s="191">
        <v>15.02</v>
      </c>
      <c r="H34" s="191">
        <f>ROUND(F34*G34,2)</f>
        <v>0.66</v>
      </c>
    </row>
    <row r="35" spans="2:8" s="85" customFormat="1" ht="9">
      <c r="B35" s="187" t="s">
        <v>70</v>
      </c>
      <c r="C35" s="187" t="s">
        <v>570</v>
      </c>
      <c r="D35" s="188" t="s">
        <v>569</v>
      </c>
      <c r="E35" s="189" t="s">
        <v>25</v>
      </c>
      <c r="F35" s="190">
        <v>6.0000000000000001E-3</v>
      </c>
      <c r="G35" s="191">
        <v>12.23</v>
      </c>
      <c r="H35" s="191">
        <f>ROUND(F35*G35,2)</f>
        <v>7.0000000000000007E-2</v>
      </c>
    </row>
    <row r="36" spans="2:8" s="85" customFormat="1" ht="9">
      <c r="B36" s="187" t="s">
        <v>71</v>
      </c>
      <c r="C36" s="190" t="s">
        <v>73</v>
      </c>
      <c r="D36" s="188" t="s">
        <v>74</v>
      </c>
      <c r="E36" s="189" t="s">
        <v>52</v>
      </c>
      <c r="F36" s="190">
        <v>5.5E-2</v>
      </c>
      <c r="G36" s="191">
        <v>26.19</v>
      </c>
      <c r="H36" s="191">
        <f>ROUND(F36*G36,2)</f>
        <v>1.44</v>
      </c>
    </row>
    <row r="37" spans="2:8" s="85" customFormat="1" ht="9">
      <c r="B37" s="90"/>
      <c r="C37" s="91"/>
      <c r="D37" s="92"/>
      <c r="E37" s="90"/>
      <c r="F37" s="90"/>
      <c r="G37" s="90"/>
      <c r="H37" s="90"/>
    </row>
    <row r="38" spans="2:8" s="85" customFormat="1" ht="18">
      <c r="B38" s="183" t="s">
        <v>62</v>
      </c>
      <c r="C38" s="183" t="s">
        <v>128</v>
      </c>
      <c r="D38" s="184" t="s">
        <v>646</v>
      </c>
      <c r="E38" s="183" t="s">
        <v>251</v>
      </c>
      <c r="F38" s="185"/>
      <c r="G38" s="185"/>
      <c r="H38" s="186">
        <f>SUM(H39:H40)</f>
        <v>25.619999999999997</v>
      </c>
    </row>
    <row r="39" spans="2:8" s="85" customFormat="1" ht="9">
      <c r="B39" s="187" t="s">
        <v>71</v>
      </c>
      <c r="C39" s="187" t="s">
        <v>116</v>
      </c>
      <c r="D39" s="188" t="s">
        <v>117</v>
      </c>
      <c r="E39" s="189" t="s">
        <v>52</v>
      </c>
      <c r="F39" s="190">
        <v>0.28499999999999998</v>
      </c>
      <c r="G39" s="191">
        <v>30.19</v>
      </c>
      <c r="H39" s="191">
        <f>ROUND(F39*G39,2)</f>
        <v>8.6</v>
      </c>
    </row>
    <row r="40" spans="2:8" s="85" customFormat="1" ht="9">
      <c r="B40" s="187" t="s">
        <v>71</v>
      </c>
      <c r="C40" s="190" t="s">
        <v>73</v>
      </c>
      <c r="D40" s="188" t="s">
        <v>74</v>
      </c>
      <c r="E40" s="189" t="s">
        <v>52</v>
      </c>
      <c r="F40" s="190">
        <v>0.65</v>
      </c>
      <c r="G40" s="191">
        <v>26.19</v>
      </c>
      <c r="H40" s="191">
        <f>ROUND(F40*G40,2)</f>
        <v>17.02</v>
      </c>
    </row>
    <row r="41" spans="2:8" s="85" customFormat="1" ht="9">
      <c r="B41" s="90"/>
      <c r="C41" s="91"/>
      <c r="D41" s="92"/>
      <c r="E41" s="90"/>
      <c r="F41" s="90"/>
      <c r="G41" s="90"/>
      <c r="H41" s="90"/>
    </row>
    <row r="42" spans="2:8" s="85" customFormat="1" ht="18">
      <c r="B42" s="183" t="s">
        <v>62</v>
      </c>
      <c r="C42" s="183" t="s">
        <v>150</v>
      </c>
      <c r="D42" s="184" t="s">
        <v>648</v>
      </c>
      <c r="E42" s="183" t="s">
        <v>251</v>
      </c>
      <c r="F42" s="185"/>
      <c r="G42" s="185"/>
      <c r="H42" s="186">
        <f>SUM(H43:H48)</f>
        <v>457.96</v>
      </c>
    </row>
    <row r="43" spans="2:8" s="85" customFormat="1" ht="9">
      <c r="B43" s="187" t="s">
        <v>70</v>
      </c>
      <c r="C43" s="187" t="s">
        <v>650</v>
      </c>
      <c r="D43" s="188" t="s">
        <v>649</v>
      </c>
      <c r="E43" s="189" t="s">
        <v>251</v>
      </c>
      <c r="F43" s="195">
        <v>1</v>
      </c>
      <c r="G43" s="191" t="s">
        <v>652</v>
      </c>
      <c r="H43" s="191">
        <f t="shared" ref="H43:H48" si="1">ROUND(F43*G43,2)</f>
        <v>174.69</v>
      </c>
    </row>
    <row r="44" spans="2:8" s="85" customFormat="1" ht="9">
      <c r="B44" s="187" t="s">
        <v>70</v>
      </c>
      <c r="C44" s="187" t="s">
        <v>153</v>
      </c>
      <c r="D44" s="188" t="s">
        <v>493</v>
      </c>
      <c r="E44" s="189" t="s">
        <v>251</v>
      </c>
      <c r="F44" s="195">
        <v>0.34599999999999997</v>
      </c>
      <c r="G44" s="191" t="s">
        <v>653</v>
      </c>
      <c r="H44" s="191">
        <f t="shared" si="1"/>
        <v>13.96</v>
      </c>
    </row>
    <row r="45" spans="2:8" s="85" customFormat="1" ht="18">
      <c r="B45" s="187" t="s">
        <v>70</v>
      </c>
      <c r="C45" s="187" t="s">
        <v>156</v>
      </c>
      <c r="D45" s="188" t="s">
        <v>656</v>
      </c>
      <c r="E45" s="189" t="s">
        <v>251</v>
      </c>
      <c r="F45" s="195">
        <v>1</v>
      </c>
      <c r="G45" s="191" t="s">
        <v>659</v>
      </c>
      <c r="H45" s="191">
        <f t="shared" si="1"/>
        <v>66.34</v>
      </c>
    </row>
    <row r="46" spans="2:8" s="85" customFormat="1" ht="18">
      <c r="B46" s="187" t="s">
        <v>70</v>
      </c>
      <c r="C46" s="187" t="s">
        <v>658</v>
      </c>
      <c r="D46" s="188" t="s">
        <v>657</v>
      </c>
      <c r="E46" s="189" t="s">
        <v>251</v>
      </c>
      <c r="F46" s="195">
        <v>1</v>
      </c>
      <c r="G46" s="191" t="s">
        <v>660</v>
      </c>
      <c r="H46" s="191">
        <f t="shared" si="1"/>
        <v>184.32</v>
      </c>
    </row>
    <row r="47" spans="2:8" s="85" customFormat="1" ht="9">
      <c r="B47" s="187" t="s">
        <v>71</v>
      </c>
      <c r="C47" s="187" t="s">
        <v>154</v>
      </c>
      <c r="D47" s="188" t="s">
        <v>155</v>
      </c>
      <c r="E47" s="189" t="s">
        <v>52</v>
      </c>
      <c r="F47" s="195">
        <v>0.47739999999999999</v>
      </c>
      <c r="G47" s="191" t="s">
        <v>654</v>
      </c>
      <c r="H47" s="191">
        <f t="shared" si="1"/>
        <v>14.71</v>
      </c>
    </row>
    <row r="48" spans="2:8" s="85" customFormat="1" ht="9">
      <c r="B48" s="187" t="s">
        <v>71</v>
      </c>
      <c r="C48" s="187" t="s">
        <v>73</v>
      </c>
      <c r="D48" s="188" t="s">
        <v>74</v>
      </c>
      <c r="E48" s="189" t="s">
        <v>52</v>
      </c>
      <c r="F48" s="195">
        <v>0.15040000000000001</v>
      </c>
      <c r="G48" s="191" t="s">
        <v>655</v>
      </c>
      <c r="H48" s="191">
        <f t="shared" si="1"/>
        <v>3.94</v>
      </c>
    </row>
    <row r="49" spans="2:8" s="85" customFormat="1" ht="13.5">
      <c r="B49" s="196"/>
      <c r="C49" s="197"/>
      <c r="D49" s="197"/>
      <c r="E49" s="196"/>
      <c r="F49" s="197"/>
      <c r="G49" s="198"/>
      <c r="H49" s="196"/>
    </row>
    <row r="50" spans="2:8" s="85" customFormat="1" ht="18">
      <c r="B50" s="183" t="s">
        <v>62</v>
      </c>
      <c r="C50" s="183" t="s">
        <v>152</v>
      </c>
      <c r="D50" s="184" t="s">
        <v>689</v>
      </c>
      <c r="E50" s="183" t="s">
        <v>42</v>
      </c>
      <c r="F50" s="185"/>
      <c r="G50" s="185"/>
      <c r="H50" s="186">
        <f>SUM(H51:H52)</f>
        <v>39.770000000000003</v>
      </c>
    </row>
    <row r="51" spans="2:8" s="85" customFormat="1" ht="9">
      <c r="B51" s="187" t="s">
        <v>71</v>
      </c>
      <c r="C51" s="187" t="s">
        <v>116</v>
      </c>
      <c r="D51" s="188" t="s">
        <v>117</v>
      </c>
      <c r="E51" s="189" t="s">
        <v>52</v>
      </c>
      <c r="F51" s="195">
        <v>0.57999999999999996</v>
      </c>
      <c r="G51" s="191" t="s">
        <v>688</v>
      </c>
      <c r="H51" s="191">
        <f>ROUND(F51*G51,2)</f>
        <v>17.510000000000002</v>
      </c>
    </row>
    <row r="52" spans="2:8" s="85" customFormat="1" ht="9">
      <c r="B52" s="187" t="s">
        <v>71</v>
      </c>
      <c r="C52" s="187" t="s">
        <v>73</v>
      </c>
      <c r="D52" s="188" t="s">
        <v>74</v>
      </c>
      <c r="E52" s="189" t="s">
        <v>52</v>
      </c>
      <c r="F52" s="195">
        <v>0.85</v>
      </c>
      <c r="G52" s="191" t="s">
        <v>655</v>
      </c>
      <c r="H52" s="191">
        <f>ROUND(F52*G52,2)</f>
        <v>22.26</v>
      </c>
    </row>
    <row r="53" spans="2:8" s="85" customFormat="1" ht="13.5">
      <c r="B53" s="196"/>
      <c r="C53" s="199"/>
      <c r="D53" s="197"/>
      <c r="E53" s="196"/>
      <c r="F53" s="196"/>
      <c r="G53" s="196"/>
      <c r="H53" s="196"/>
    </row>
    <row r="54" spans="2:8" s="85" customFormat="1" ht="18">
      <c r="B54" s="183" t="s">
        <v>62</v>
      </c>
      <c r="C54" s="183" t="s">
        <v>160</v>
      </c>
      <c r="D54" s="184" t="s">
        <v>735</v>
      </c>
      <c r="E54" s="183" t="s">
        <v>42</v>
      </c>
      <c r="F54" s="185"/>
      <c r="G54" s="185"/>
      <c r="H54" s="186">
        <f>SUM(H55:H57)</f>
        <v>59.06</v>
      </c>
    </row>
    <row r="55" spans="2:8" s="85" customFormat="1" ht="9">
      <c r="B55" s="187" t="s">
        <v>691</v>
      </c>
      <c r="C55" s="187" t="s">
        <v>180</v>
      </c>
      <c r="D55" s="188" t="s">
        <v>736</v>
      </c>
      <c r="E55" s="191" t="s">
        <v>72</v>
      </c>
      <c r="F55" s="195" t="s">
        <v>651</v>
      </c>
      <c r="G55" s="191">
        <v>34.520000000000003</v>
      </c>
      <c r="H55" s="191">
        <f>ROUND(F55*G55,2)</f>
        <v>34.520000000000003</v>
      </c>
    </row>
    <row r="56" spans="2:8" s="85" customFormat="1" ht="9">
      <c r="B56" s="187" t="s">
        <v>71</v>
      </c>
      <c r="C56" s="187" t="s">
        <v>741</v>
      </c>
      <c r="D56" s="188" t="s">
        <v>737</v>
      </c>
      <c r="E56" s="191" t="s">
        <v>52</v>
      </c>
      <c r="F56" s="195" t="s">
        <v>739</v>
      </c>
      <c r="G56" s="191" t="s">
        <v>740</v>
      </c>
      <c r="H56" s="191">
        <f>ROUND(F56*G56,2)</f>
        <v>10.61</v>
      </c>
    </row>
    <row r="57" spans="2:8" s="85" customFormat="1" ht="9">
      <c r="B57" s="187" t="s">
        <v>71</v>
      </c>
      <c r="C57" s="187" t="s">
        <v>742</v>
      </c>
      <c r="D57" s="188" t="s">
        <v>738</v>
      </c>
      <c r="E57" s="191" t="s">
        <v>52</v>
      </c>
      <c r="F57" s="195" t="s">
        <v>739</v>
      </c>
      <c r="G57" s="191">
        <v>37.65</v>
      </c>
      <c r="H57" s="191">
        <f>ROUND(F57*G57,2)</f>
        <v>13.93</v>
      </c>
    </row>
    <row r="58" spans="2:8" ht="9" customHeight="1">
      <c r="B58" s="180"/>
      <c r="C58" s="181"/>
      <c r="D58" s="182"/>
      <c r="E58" s="180"/>
      <c r="F58" s="180"/>
      <c r="G58" s="180"/>
      <c r="H58" s="180"/>
    </row>
    <row r="59" spans="2:8" ht="18">
      <c r="B59" s="183" t="s">
        <v>62</v>
      </c>
      <c r="C59" s="183" t="s">
        <v>761</v>
      </c>
      <c r="D59" s="184" t="s">
        <v>760</v>
      </c>
      <c r="E59" s="183" t="s">
        <v>251</v>
      </c>
      <c r="F59" s="185"/>
      <c r="G59" s="185"/>
      <c r="H59" s="186">
        <f>SUM(H60:H61)</f>
        <v>34.46</v>
      </c>
    </row>
    <row r="60" spans="2:8" ht="9.75" customHeight="1">
      <c r="B60" s="187" t="s">
        <v>71</v>
      </c>
      <c r="C60" s="187" t="s">
        <v>763</v>
      </c>
      <c r="D60" s="188" t="s">
        <v>762</v>
      </c>
      <c r="E60" s="191" t="s">
        <v>52</v>
      </c>
      <c r="F60" s="195">
        <v>0.45</v>
      </c>
      <c r="G60" s="191">
        <v>32.94</v>
      </c>
      <c r="H60" s="191">
        <f>ROUND(F60*G60,2)</f>
        <v>14.82</v>
      </c>
    </row>
    <row r="61" spans="2:8" ht="12" customHeight="1">
      <c r="B61" s="187" t="s">
        <v>71</v>
      </c>
      <c r="C61" s="187" t="s">
        <v>73</v>
      </c>
      <c r="D61" s="188" t="s">
        <v>74</v>
      </c>
      <c r="E61" s="191" t="s">
        <v>52</v>
      </c>
      <c r="F61" s="195">
        <v>0.75</v>
      </c>
      <c r="G61" s="191">
        <v>26.19</v>
      </c>
      <c r="H61" s="191">
        <f>ROUND(F61*G61,2)</f>
        <v>19.64</v>
      </c>
    </row>
    <row r="62" spans="2:8" ht="6.75" customHeight="1"/>
    <row r="63" spans="2:8" ht="18">
      <c r="B63" s="183" t="s">
        <v>62</v>
      </c>
      <c r="C63" s="183" t="s">
        <v>802</v>
      </c>
      <c r="D63" s="184" t="s">
        <v>793</v>
      </c>
      <c r="E63" s="183" t="s">
        <v>44</v>
      </c>
      <c r="F63" s="185"/>
      <c r="G63" s="185"/>
      <c r="H63" s="186">
        <f>SUM(H64:H68)</f>
        <v>611.14</v>
      </c>
    </row>
    <row r="64" spans="2:8">
      <c r="B64" s="187" t="s">
        <v>71</v>
      </c>
      <c r="C64" s="187" t="s">
        <v>116</v>
      </c>
      <c r="D64" s="188" t="s">
        <v>117</v>
      </c>
      <c r="E64" s="189" t="s">
        <v>52</v>
      </c>
      <c r="F64" s="190">
        <v>2.3860000000000001</v>
      </c>
      <c r="G64" s="191">
        <v>30.19</v>
      </c>
      <c r="H64" s="191">
        <f t="shared" ref="H64:H68" si="2">ROUND(F64*G64,2)</f>
        <v>72.03</v>
      </c>
    </row>
    <row r="65" spans="2:8">
      <c r="B65" s="187" t="s">
        <v>71</v>
      </c>
      <c r="C65" s="187" t="s">
        <v>73</v>
      </c>
      <c r="D65" s="188" t="s">
        <v>74</v>
      </c>
      <c r="E65" s="189" t="s">
        <v>52</v>
      </c>
      <c r="F65" s="190">
        <v>2.4500000000000002</v>
      </c>
      <c r="G65" s="191">
        <v>26.19</v>
      </c>
      <c r="H65" s="191">
        <f t="shared" si="2"/>
        <v>64.17</v>
      </c>
    </row>
    <row r="66" spans="2:8" ht="18">
      <c r="B66" s="187" t="s">
        <v>71</v>
      </c>
      <c r="C66" s="187" t="s">
        <v>794</v>
      </c>
      <c r="D66" s="188" t="s">
        <v>795</v>
      </c>
      <c r="E66" s="189" t="s">
        <v>796</v>
      </c>
      <c r="F66" s="190">
        <v>0.314</v>
      </c>
      <c r="G66" s="191">
        <v>1.1299999999999999</v>
      </c>
      <c r="H66" s="191">
        <f t="shared" si="2"/>
        <v>0.35</v>
      </c>
    </row>
    <row r="67" spans="2:8" ht="18">
      <c r="B67" s="187" t="s">
        <v>71</v>
      </c>
      <c r="C67" s="187" t="s">
        <v>797</v>
      </c>
      <c r="D67" s="188" t="s">
        <v>798</v>
      </c>
      <c r="E67" s="189" t="s">
        <v>799</v>
      </c>
      <c r="F67" s="190">
        <v>0.91100000000000003</v>
      </c>
      <c r="G67" s="191">
        <v>0.45</v>
      </c>
      <c r="H67" s="191">
        <f t="shared" si="2"/>
        <v>0.41</v>
      </c>
    </row>
    <row r="68" spans="2:8" ht="18">
      <c r="B68" s="187" t="s">
        <v>71</v>
      </c>
      <c r="C68" s="187" t="s">
        <v>800</v>
      </c>
      <c r="D68" s="188" t="s">
        <v>801</v>
      </c>
      <c r="E68" s="189" t="s">
        <v>44</v>
      </c>
      <c r="F68" s="190">
        <v>1.1499999999999999</v>
      </c>
      <c r="G68" s="191">
        <v>412.33</v>
      </c>
      <c r="H68" s="191">
        <f t="shared" si="2"/>
        <v>474.18</v>
      </c>
    </row>
    <row r="69" spans="2:8" ht="4.5" customHeight="1"/>
    <row r="70" spans="2:8" ht="18">
      <c r="B70" s="183" t="s">
        <v>62</v>
      </c>
      <c r="C70" s="183" t="s">
        <v>839</v>
      </c>
      <c r="D70" s="184" t="s">
        <v>822</v>
      </c>
      <c r="E70" s="183" t="s">
        <v>823</v>
      </c>
      <c r="F70" s="185"/>
      <c r="G70" s="185"/>
      <c r="H70" s="186">
        <f>SUM(H71:H76)</f>
        <v>593.38999999999987</v>
      </c>
    </row>
    <row r="71" spans="2:8" ht="27">
      <c r="B71" s="187" t="s">
        <v>70</v>
      </c>
      <c r="C71" s="187" t="s">
        <v>824</v>
      </c>
      <c r="D71" s="188" t="s">
        <v>825</v>
      </c>
      <c r="E71" s="189" t="s">
        <v>823</v>
      </c>
      <c r="F71" s="190" t="s">
        <v>826</v>
      </c>
      <c r="G71" s="191">
        <v>493.7</v>
      </c>
      <c r="H71" s="191">
        <f t="shared" ref="H71:H76" si="3">ROUND(F71*G71,2)</f>
        <v>544.54999999999995</v>
      </c>
    </row>
    <row r="72" spans="2:8">
      <c r="B72" s="187" t="s">
        <v>71</v>
      </c>
      <c r="C72" s="187" t="s">
        <v>827</v>
      </c>
      <c r="D72" s="188" t="s">
        <v>828</v>
      </c>
      <c r="E72" s="189" t="s">
        <v>52</v>
      </c>
      <c r="F72" s="190" t="s">
        <v>829</v>
      </c>
      <c r="G72" s="191">
        <v>29.82</v>
      </c>
      <c r="H72" s="191">
        <f t="shared" si="3"/>
        <v>6.68</v>
      </c>
    </row>
    <row r="73" spans="2:8">
      <c r="B73" s="187" t="s">
        <v>71</v>
      </c>
      <c r="C73" s="187" t="s">
        <v>116</v>
      </c>
      <c r="D73" s="188" t="s">
        <v>117</v>
      </c>
      <c r="E73" s="189" t="s">
        <v>52</v>
      </c>
      <c r="F73" s="190" t="s">
        <v>829</v>
      </c>
      <c r="G73" s="191">
        <v>30.19</v>
      </c>
      <c r="H73" s="191">
        <f t="shared" si="3"/>
        <v>6.76</v>
      </c>
    </row>
    <row r="74" spans="2:8">
      <c r="B74" s="187" t="s">
        <v>71</v>
      </c>
      <c r="C74" s="187" t="s">
        <v>73</v>
      </c>
      <c r="D74" s="188" t="s">
        <v>74</v>
      </c>
      <c r="E74" s="189" t="s">
        <v>52</v>
      </c>
      <c r="F74" s="190" t="s">
        <v>830</v>
      </c>
      <c r="G74" s="191">
        <v>26.19</v>
      </c>
      <c r="H74" s="191">
        <f t="shared" si="3"/>
        <v>35.229999999999997</v>
      </c>
    </row>
    <row r="75" spans="2:8" ht="18">
      <c r="B75" s="187" t="s">
        <v>71</v>
      </c>
      <c r="C75" s="187" t="s">
        <v>794</v>
      </c>
      <c r="D75" s="188" t="s">
        <v>795</v>
      </c>
      <c r="E75" s="189" t="s">
        <v>796</v>
      </c>
      <c r="F75" s="190" t="s">
        <v>831</v>
      </c>
      <c r="G75" s="191">
        <v>1.1299999999999999</v>
      </c>
      <c r="H75" s="191">
        <f t="shared" si="3"/>
        <v>0.11</v>
      </c>
    </row>
    <row r="76" spans="2:8" ht="18">
      <c r="B76" s="187" t="s">
        <v>71</v>
      </c>
      <c r="C76" s="187" t="s">
        <v>797</v>
      </c>
      <c r="D76" s="188" t="s">
        <v>798</v>
      </c>
      <c r="E76" s="189" t="s">
        <v>799</v>
      </c>
      <c r="F76" s="190" t="s">
        <v>832</v>
      </c>
      <c r="G76" s="191">
        <v>0.45</v>
      </c>
      <c r="H76" s="191">
        <f t="shared" si="3"/>
        <v>0.06</v>
      </c>
    </row>
    <row r="77" spans="2:8" ht="6.75" customHeight="1">
      <c r="B77" s="90"/>
      <c r="C77" s="91"/>
      <c r="D77" s="92"/>
      <c r="E77" s="90"/>
      <c r="F77" s="90"/>
      <c r="G77" s="90"/>
      <c r="H77" s="90"/>
    </row>
    <row r="78" spans="2:8" ht="27">
      <c r="B78" s="183" t="s">
        <v>62</v>
      </c>
      <c r="C78" s="183" t="s">
        <v>840</v>
      </c>
      <c r="D78" s="184" t="s">
        <v>833</v>
      </c>
      <c r="E78" s="183" t="s">
        <v>44</v>
      </c>
      <c r="F78" s="185"/>
      <c r="G78" s="185"/>
      <c r="H78" s="186">
        <f>SUM(H79:H84)</f>
        <v>615.4</v>
      </c>
    </row>
    <row r="79" spans="2:8" ht="27">
      <c r="B79" s="187" t="s">
        <v>70</v>
      </c>
      <c r="C79" s="187" t="s">
        <v>824</v>
      </c>
      <c r="D79" s="188" t="s">
        <v>825</v>
      </c>
      <c r="E79" s="189" t="s">
        <v>823</v>
      </c>
      <c r="F79" s="190" t="s">
        <v>826</v>
      </c>
      <c r="G79" s="191">
        <v>493.7</v>
      </c>
      <c r="H79" s="191">
        <f t="shared" ref="H79:H84" si="4">ROUND(F79*G79,2)</f>
        <v>544.54999999999995</v>
      </c>
    </row>
    <row r="80" spans="2:8">
      <c r="B80" s="187" t="s">
        <v>71</v>
      </c>
      <c r="C80" s="187" t="s">
        <v>827</v>
      </c>
      <c r="D80" s="188" t="s">
        <v>828</v>
      </c>
      <c r="E80" s="189" t="s">
        <v>52</v>
      </c>
      <c r="F80" s="190" t="s">
        <v>834</v>
      </c>
      <c r="G80" s="191">
        <v>29.82</v>
      </c>
      <c r="H80" s="191">
        <f t="shared" si="4"/>
        <v>5.55</v>
      </c>
    </row>
    <row r="81" spans="2:8">
      <c r="B81" s="187" t="s">
        <v>71</v>
      </c>
      <c r="C81" s="187" t="s">
        <v>116</v>
      </c>
      <c r="D81" s="188" t="s">
        <v>117</v>
      </c>
      <c r="E81" s="189" t="s">
        <v>52</v>
      </c>
      <c r="F81" s="190" t="s">
        <v>835</v>
      </c>
      <c r="G81" s="191">
        <v>30.19</v>
      </c>
      <c r="H81" s="191">
        <f t="shared" si="4"/>
        <v>33.78</v>
      </c>
    </row>
    <row r="82" spans="2:8">
      <c r="B82" s="187" t="s">
        <v>71</v>
      </c>
      <c r="C82" s="187" t="s">
        <v>73</v>
      </c>
      <c r="D82" s="188" t="s">
        <v>74</v>
      </c>
      <c r="E82" s="189" t="s">
        <v>52</v>
      </c>
      <c r="F82" s="190" t="s">
        <v>836</v>
      </c>
      <c r="G82" s="191">
        <v>26.19</v>
      </c>
      <c r="H82" s="191">
        <f t="shared" si="4"/>
        <v>31.22</v>
      </c>
    </row>
    <row r="83" spans="2:8" ht="18">
      <c r="B83" s="187" t="s">
        <v>71</v>
      </c>
      <c r="C83" s="187" t="s">
        <v>794</v>
      </c>
      <c r="D83" s="188" t="s">
        <v>795</v>
      </c>
      <c r="E83" s="189" t="s">
        <v>796</v>
      </c>
      <c r="F83" s="190" t="s">
        <v>837</v>
      </c>
      <c r="G83" s="191">
        <v>1.1299999999999999</v>
      </c>
      <c r="H83" s="191">
        <f t="shared" si="4"/>
        <v>0.22</v>
      </c>
    </row>
    <row r="84" spans="2:8" ht="18">
      <c r="B84" s="187" t="s">
        <v>71</v>
      </c>
      <c r="C84" s="187" t="s">
        <v>797</v>
      </c>
      <c r="D84" s="188" t="s">
        <v>798</v>
      </c>
      <c r="E84" s="189" t="s">
        <v>799</v>
      </c>
      <c r="F84" s="190" t="s">
        <v>838</v>
      </c>
      <c r="G84" s="191">
        <v>0.45</v>
      </c>
      <c r="H84" s="191">
        <f t="shared" si="4"/>
        <v>0.08</v>
      </c>
    </row>
    <row r="86" spans="2:8" ht="18">
      <c r="B86" s="183" t="s">
        <v>62</v>
      </c>
      <c r="C86" s="183" t="s">
        <v>871</v>
      </c>
      <c r="D86" s="184" t="s">
        <v>868</v>
      </c>
      <c r="E86" s="183" t="s">
        <v>42</v>
      </c>
      <c r="F86" s="185"/>
      <c r="G86" s="185"/>
      <c r="H86" s="186">
        <f>SUM(H87:H90)</f>
        <v>57.34</v>
      </c>
    </row>
    <row r="87" spans="2:8">
      <c r="B87" s="187" t="s">
        <v>71</v>
      </c>
      <c r="C87" s="187" t="s">
        <v>350</v>
      </c>
      <c r="D87" s="188" t="s">
        <v>869</v>
      </c>
      <c r="E87" s="189" t="s">
        <v>52</v>
      </c>
      <c r="F87" s="190">
        <v>0.45</v>
      </c>
      <c r="G87" s="191">
        <v>32.130000000000003</v>
      </c>
      <c r="H87" s="191">
        <f>ROUND(F87*G87,2)</f>
        <v>14.46</v>
      </c>
    </row>
    <row r="88" spans="2:8">
      <c r="B88" s="187" t="s">
        <v>71</v>
      </c>
      <c r="C88" s="187" t="s">
        <v>333</v>
      </c>
      <c r="D88" s="188" t="s">
        <v>331</v>
      </c>
      <c r="E88" s="189" t="s">
        <v>52</v>
      </c>
      <c r="F88" s="190">
        <v>0.28499999999999998</v>
      </c>
      <c r="G88" s="191">
        <v>27.24</v>
      </c>
      <c r="H88" s="191">
        <f>ROUND(F88*G88,2)</f>
        <v>7.76</v>
      </c>
    </row>
    <row r="89" spans="2:8">
      <c r="B89" s="187" t="s">
        <v>691</v>
      </c>
      <c r="C89" s="187" t="s">
        <v>180</v>
      </c>
      <c r="D89" s="188" t="s">
        <v>870</v>
      </c>
      <c r="E89" s="189" t="s">
        <v>42</v>
      </c>
      <c r="F89" s="190">
        <v>1</v>
      </c>
      <c r="G89" s="191">
        <v>18.760000000000002</v>
      </c>
      <c r="H89" s="191">
        <f>ROUND(F89*G89,2)</f>
        <v>18.760000000000002</v>
      </c>
    </row>
    <row r="90" spans="2:8">
      <c r="B90" s="187" t="s">
        <v>70</v>
      </c>
      <c r="C90" s="187">
        <v>4791</v>
      </c>
      <c r="D90" s="188" t="s">
        <v>182</v>
      </c>
      <c r="E90" s="189" t="s">
        <v>88</v>
      </c>
      <c r="F90" s="190">
        <v>0.33</v>
      </c>
      <c r="G90" s="191">
        <v>49.59</v>
      </c>
      <c r="H90" s="191">
        <f>ROUND(F90*G90,2)</f>
        <v>16.36</v>
      </c>
    </row>
    <row r="92" spans="2:8" ht="18">
      <c r="B92" s="183" t="s">
        <v>62</v>
      </c>
      <c r="C92" s="183" t="s">
        <v>1160</v>
      </c>
      <c r="D92" s="184" t="s">
        <v>1168</v>
      </c>
      <c r="E92" s="183" t="s">
        <v>43</v>
      </c>
      <c r="F92" s="185"/>
      <c r="G92" s="185"/>
      <c r="H92" s="186">
        <f>SUM(H93:H98)</f>
        <v>59.490000000000009</v>
      </c>
    </row>
    <row r="93" spans="2:8">
      <c r="B93" s="187" t="s">
        <v>691</v>
      </c>
      <c r="C93" s="187" t="s">
        <v>180</v>
      </c>
      <c r="D93" s="188" t="s">
        <v>1161</v>
      </c>
      <c r="E93" s="189" t="s">
        <v>43</v>
      </c>
      <c r="F93" s="195">
        <v>1.04</v>
      </c>
      <c r="G93" s="191">
        <f>(35+53.05+37.6)/3</f>
        <v>41.883333333333333</v>
      </c>
      <c r="H93" s="191">
        <f>ROUND(F93*G93,2)</f>
        <v>43.56</v>
      </c>
    </row>
    <row r="94" spans="2:8" ht="27">
      <c r="B94" s="187" t="s">
        <v>71</v>
      </c>
      <c r="C94" s="187" t="s">
        <v>1165</v>
      </c>
      <c r="D94" s="188" t="s">
        <v>1162</v>
      </c>
      <c r="E94" s="189" t="s">
        <v>44</v>
      </c>
      <c r="F94" s="195">
        <v>6.0000000000000001E-3</v>
      </c>
      <c r="G94" s="189">
        <v>386.76</v>
      </c>
      <c r="H94" s="191">
        <f>ROUND(F94*G94,2)</f>
        <v>2.3199999999999998</v>
      </c>
    </row>
    <row r="95" spans="2:8">
      <c r="B95" s="187" t="s">
        <v>71</v>
      </c>
      <c r="C95" s="187" t="s">
        <v>154</v>
      </c>
      <c r="D95" s="188" t="s">
        <v>117</v>
      </c>
      <c r="E95" s="189" t="s">
        <v>52</v>
      </c>
      <c r="F95" s="195">
        <v>0.189</v>
      </c>
      <c r="G95" s="189">
        <v>30.19</v>
      </c>
      <c r="H95" s="191">
        <f t="shared" ref="H95:H98" si="5">ROUND(F95*G95,2)</f>
        <v>5.71</v>
      </c>
    </row>
    <row r="96" spans="2:8">
      <c r="B96" s="187" t="s">
        <v>71</v>
      </c>
      <c r="C96" s="187" t="s">
        <v>73</v>
      </c>
      <c r="D96" s="188" t="s">
        <v>74</v>
      </c>
      <c r="E96" s="189" t="s">
        <v>52</v>
      </c>
      <c r="F96" s="195">
        <v>9.4E-2</v>
      </c>
      <c r="G96" s="189">
        <v>26.19</v>
      </c>
      <c r="H96" s="191">
        <f t="shared" si="5"/>
        <v>2.46</v>
      </c>
    </row>
    <row r="97" spans="2:8" ht="18">
      <c r="B97" s="187" t="s">
        <v>71</v>
      </c>
      <c r="C97" s="187" t="s">
        <v>1166</v>
      </c>
      <c r="D97" s="188" t="s">
        <v>1163</v>
      </c>
      <c r="E97" s="189" t="s">
        <v>796</v>
      </c>
      <c r="F97" s="195">
        <v>8.9999999999999993E-3</v>
      </c>
      <c r="G97" s="189">
        <v>29.94</v>
      </c>
      <c r="H97" s="191">
        <f t="shared" si="5"/>
        <v>0.27</v>
      </c>
    </row>
    <row r="98" spans="2:8" ht="18">
      <c r="B98" s="187" t="s">
        <v>71</v>
      </c>
      <c r="C98" s="187" t="s">
        <v>1167</v>
      </c>
      <c r="D98" s="188" t="s">
        <v>1164</v>
      </c>
      <c r="E98" s="189" t="s">
        <v>799</v>
      </c>
      <c r="F98" s="195">
        <v>0.17899999999999999</v>
      </c>
      <c r="G98" s="189">
        <v>28.87</v>
      </c>
      <c r="H98" s="191">
        <f t="shared" si="5"/>
        <v>5.17</v>
      </c>
    </row>
    <row r="100" spans="2:8" ht="6" customHeight="1"/>
    <row r="101" spans="2:8">
      <c r="B101" s="232" t="s">
        <v>1152</v>
      </c>
    </row>
    <row r="103" spans="2:8" ht="66" customHeight="1"/>
    <row r="105" spans="2:8">
      <c r="D105" s="231" t="s">
        <v>732</v>
      </c>
    </row>
    <row r="106" spans="2:8">
      <c r="D106" s="230" t="s">
        <v>733</v>
      </c>
    </row>
    <row r="107" spans="2:8">
      <c r="D107" s="230" t="s">
        <v>734</v>
      </c>
    </row>
  </sheetData>
  <mergeCells count="3">
    <mergeCell ref="B2:H3"/>
    <mergeCell ref="B4:C4"/>
    <mergeCell ref="B1:I1"/>
  </mergeCells>
  <pageMargins left="0.7" right="0.7" top="0.75" bottom="0.75" header="0.3" footer="0.3"/>
  <pageSetup paperSize="9" scale="65" fitToHeight="0" orientation="portrait" r:id="rId1"/>
  <ignoredErrors>
    <ignoredError sqref="C8:C98 F23:G9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4.25"/>
  <cols>
    <col min="1" max="1" width="25.42578125" style="8" customWidth="1"/>
    <col min="2" max="2" width="12.85546875" style="8" customWidth="1"/>
    <col min="3" max="3" width="30.7109375" style="8" customWidth="1"/>
    <col min="4" max="4" width="26.28515625" style="8" customWidth="1"/>
    <col min="5" max="5" width="32.7109375" style="8" customWidth="1"/>
    <col min="6" max="8" width="41.7109375" style="8" customWidth="1"/>
    <col min="9" max="16384" width="9.140625" style="8"/>
  </cols>
  <sheetData>
    <row r="1" spans="2:8" ht="102.75" customHeight="1" thickBot="1"/>
    <row r="2" spans="2:8" ht="42.75" customHeight="1" thickBot="1">
      <c r="B2" s="361" t="s">
        <v>14</v>
      </c>
      <c r="C2" s="362"/>
      <c r="D2" s="363"/>
      <c r="E2" s="112"/>
    </row>
    <row r="3" spans="2:8" ht="40.5" customHeight="1"/>
    <row r="4" spans="2:8" ht="30" customHeight="1">
      <c r="B4" s="364" t="s">
        <v>17</v>
      </c>
      <c r="C4" s="365"/>
      <c r="D4" s="366"/>
    </row>
    <row r="5" spans="2:8" ht="30" customHeight="1">
      <c r="B5" s="364" t="s">
        <v>163</v>
      </c>
      <c r="C5" s="365"/>
      <c r="D5" s="366"/>
    </row>
    <row r="6" spans="2:8" ht="30" customHeight="1">
      <c r="B6" s="55" t="s">
        <v>18</v>
      </c>
      <c r="C6" s="81" t="s">
        <v>2</v>
      </c>
      <c r="D6" s="56" t="s">
        <v>19</v>
      </c>
    </row>
    <row r="7" spans="2:8" ht="30" customHeight="1">
      <c r="B7" s="95" t="s">
        <v>20</v>
      </c>
      <c r="C7" s="96" t="s">
        <v>21</v>
      </c>
      <c r="D7" s="97">
        <v>0.03</v>
      </c>
      <c r="F7" s="367"/>
      <c r="G7" s="367"/>
      <c r="H7" s="367"/>
    </row>
    <row r="8" spans="2:8" ht="30" customHeight="1">
      <c r="B8" s="96" t="s">
        <v>54</v>
      </c>
      <c r="C8" s="96" t="s">
        <v>53</v>
      </c>
      <c r="D8" s="98">
        <v>8.0000000000000002E-3</v>
      </c>
      <c r="F8" s="367"/>
      <c r="G8" s="367"/>
      <c r="H8" s="367"/>
    </row>
    <row r="9" spans="2:8" ht="30" customHeight="1">
      <c r="B9" s="96" t="s">
        <v>15</v>
      </c>
      <c r="C9" s="96" t="s">
        <v>55</v>
      </c>
      <c r="D9" s="98">
        <v>0.01</v>
      </c>
      <c r="F9" s="367"/>
      <c r="G9" s="367"/>
      <c r="H9" s="367"/>
    </row>
    <row r="10" spans="2:8" ht="30" customHeight="1">
      <c r="B10" s="96" t="s">
        <v>22</v>
      </c>
      <c r="C10" s="96" t="s">
        <v>23</v>
      </c>
      <c r="D10" s="98">
        <v>5.8999999999999999E-3</v>
      </c>
      <c r="F10" s="367"/>
      <c r="G10" s="367"/>
      <c r="H10" s="367"/>
    </row>
    <row r="11" spans="2:8" ht="30" customHeight="1">
      <c r="B11" s="96" t="s">
        <v>25</v>
      </c>
      <c r="C11" s="96" t="s">
        <v>16</v>
      </c>
      <c r="D11" s="98">
        <v>6.2E-2</v>
      </c>
      <c r="F11" s="367"/>
      <c r="G11" s="367"/>
      <c r="H11" s="367"/>
    </row>
    <row r="12" spans="2:8" ht="30" customHeight="1">
      <c r="B12" s="95" t="s">
        <v>56</v>
      </c>
      <c r="C12" s="99" t="s">
        <v>57</v>
      </c>
      <c r="D12" s="98">
        <v>3.6499999999999998E-2</v>
      </c>
      <c r="F12" s="367"/>
      <c r="G12" s="367"/>
      <c r="H12" s="367"/>
    </row>
    <row r="13" spans="2:8" ht="30" customHeight="1">
      <c r="B13" s="95" t="s">
        <v>94</v>
      </c>
      <c r="C13" s="99" t="s">
        <v>79</v>
      </c>
      <c r="D13" s="98">
        <v>4.4999999999999998E-2</v>
      </c>
      <c r="F13" s="114"/>
      <c r="G13" s="114"/>
      <c r="H13" s="114"/>
    </row>
    <row r="14" spans="2:8" ht="30" customHeight="1">
      <c r="B14" s="100"/>
      <c r="C14" s="99" t="s">
        <v>13</v>
      </c>
      <c r="D14" s="98">
        <v>0.03</v>
      </c>
    </row>
    <row r="15" spans="2:8" ht="37.5" customHeight="1">
      <c r="B15" s="57"/>
      <c r="C15" s="58" t="s">
        <v>26</v>
      </c>
      <c r="D15" s="59">
        <f>(((1+D7+D8+D9)*(1+D10)*(1+D11))/(1-D12-D13-D14))-1</f>
        <v>0.26003664423185158</v>
      </c>
    </row>
    <row r="17" spans="2:9" ht="25.5" customHeight="1">
      <c r="B17" s="368" t="s">
        <v>24</v>
      </c>
      <c r="C17" s="368"/>
      <c r="D17" s="368"/>
    </row>
    <row r="18" spans="2:9" ht="48.75" customHeight="1">
      <c r="B18" s="369"/>
      <c r="C18" s="369"/>
      <c r="D18" s="369"/>
    </row>
    <row r="19" spans="2:9" ht="20.25" customHeight="1">
      <c r="B19" s="94"/>
      <c r="C19" s="94"/>
      <c r="D19" s="94"/>
    </row>
    <row r="20" spans="2:9" ht="41.25" customHeight="1">
      <c r="B20" s="374" t="s">
        <v>58</v>
      </c>
      <c r="C20" s="374"/>
      <c r="D20" s="374"/>
    </row>
    <row r="21" spans="2:9" ht="17.25" customHeight="1">
      <c r="B21" s="374" t="s">
        <v>92</v>
      </c>
      <c r="C21" s="374"/>
      <c r="D21" s="374"/>
    </row>
    <row r="22" spans="2:9" ht="17.25" customHeight="1">
      <c r="B22" s="374" t="s">
        <v>93</v>
      </c>
      <c r="C22" s="374"/>
      <c r="D22" s="374"/>
    </row>
    <row r="23" spans="2:9" ht="36" customHeight="1">
      <c r="B23" s="374" t="s">
        <v>59</v>
      </c>
      <c r="C23" s="374"/>
      <c r="D23" s="374"/>
    </row>
    <row r="24" spans="2:9" ht="17.25" customHeight="1">
      <c r="B24" s="374" t="s">
        <v>60</v>
      </c>
      <c r="C24" s="374"/>
      <c r="D24" s="374"/>
    </row>
    <row r="25" spans="2:9" ht="17.25" customHeight="1">
      <c r="B25" s="374" t="s">
        <v>61</v>
      </c>
      <c r="C25" s="374"/>
      <c r="D25" s="374"/>
    </row>
    <row r="26" spans="2:9" ht="36" customHeight="1">
      <c r="B26" s="374" t="s">
        <v>96</v>
      </c>
      <c r="C26" s="374"/>
      <c r="D26" s="374"/>
    </row>
    <row r="27" spans="2:9" ht="17.25" customHeight="1">
      <c r="B27" s="374" t="s">
        <v>95</v>
      </c>
      <c r="C27" s="374"/>
      <c r="D27" s="374"/>
    </row>
    <row r="28" spans="2:9" ht="49.5" customHeight="1">
      <c r="B28" s="373"/>
      <c r="C28" s="373"/>
      <c r="D28" s="373"/>
    </row>
    <row r="29" spans="2:9" ht="15.75" customHeight="1">
      <c r="B29" s="370" t="s">
        <v>87</v>
      </c>
      <c r="C29" s="370"/>
      <c r="D29" s="370"/>
    </row>
    <row r="30" spans="2:9" ht="12.75" customHeight="1">
      <c r="B30" s="371" t="s">
        <v>81</v>
      </c>
      <c r="C30" s="371"/>
      <c r="D30" s="371"/>
      <c r="H30" s="93"/>
      <c r="I30" s="80"/>
    </row>
    <row r="31" spans="2:9" ht="12.75" customHeight="1">
      <c r="B31" s="372" t="s">
        <v>734</v>
      </c>
      <c r="C31" s="372"/>
      <c r="D31" s="372"/>
      <c r="H31" s="93"/>
      <c r="I31" s="80"/>
    </row>
    <row r="32" spans="2:9" ht="12" customHeight="1">
      <c r="H32" s="93"/>
      <c r="I32" s="80"/>
    </row>
    <row r="33" spans="8:9" ht="12" customHeight="1">
      <c r="H33" s="80"/>
      <c r="I33" s="80"/>
    </row>
    <row r="63" spans="4:10" ht="31.5" customHeight="1">
      <c r="D63" s="8" t="s">
        <v>68</v>
      </c>
      <c r="E63" s="8" t="s">
        <v>69</v>
      </c>
      <c r="F63" s="8" t="s">
        <v>42</v>
      </c>
      <c r="G63" s="8">
        <f>4.6*1.7</f>
        <v>7.8199999999999994</v>
      </c>
      <c r="H63" s="8">
        <v>329.37</v>
      </c>
    </row>
    <row r="64" spans="4:10">
      <c r="J64" s="8">
        <f>SUM(J61:J63)</f>
        <v>0</v>
      </c>
    </row>
    <row r="99" spans="7:7">
      <c r="G99" s="8">
        <f>0.8*2.1*2*3</f>
        <v>10.080000000000002</v>
      </c>
    </row>
    <row r="100" spans="7:7">
      <c r="G100" s="8">
        <f>1.5*0.8*3*2+G63*2</f>
        <v>22.84</v>
      </c>
    </row>
  </sheetData>
  <mergeCells count="23">
    <mergeCell ref="B29:D29"/>
    <mergeCell ref="B30:D30"/>
    <mergeCell ref="B31:D31"/>
    <mergeCell ref="B28:D28"/>
    <mergeCell ref="B20:D20"/>
    <mergeCell ref="B23:D23"/>
    <mergeCell ref="B24:D24"/>
    <mergeCell ref="B25:D25"/>
    <mergeCell ref="B21:D21"/>
    <mergeCell ref="B22:D22"/>
    <mergeCell ref="B26:D26"/>
    <mergeCell ref="B27:D27"/>
    <mergeCell ref="B2:D2"/>
    <mergeCell ref="B4:D4"/>
    <mergeCell ref="F11:H11"/>
    <mergeCell ref="B17:D17"/>
    <mergeCell ref="B18:D18"/>
    <mergeCell ref="F12:H12"/>
    <mergeCell ref="F7:H7"/>
    <mergeCell ref="F9:H9"/>
    <mergeCell ref="F10:H10"/>
    <mergeCell ref="F8:H8"/>
    <mergeCell ref="B5:D5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showGridLines="0" view="pageBreakPreview" zoomScale="85" zoomScaleNormal="115" zoomScaleSheetLayoutView="85" workbookViewId="0">
      <selection activeCell="U28" sqref="U28"/>
    </sheetView>
  </sheetViews>
  <sheetFormatPr defaultColWidth="9.140625" defaultRowHeight="15"/>
  <cols>
    <col min="1" max="1" width="1" style="28" customWidth="1"/>
    <col min="2" max="2" width="7.28515625" style="28" customWidth="1"/>
    <col min="3" max="3" width="28.85546875" style="28" customWidth="1"/>
    <col min="4" max="4" width="16.28515625" style="28" bestFit="1" customWidth="1"/>
    <col min="5" max="5" width="16.42578125" style="28" customWidth="1"/>
    <col min="6" max="6" width="11.7109375" style="28" customWidth="1"/>
    <col min="7" max="7" width="13.42578125" style="28" customWidth="1"/>
    <col min="8" max="8" width="11.7109375" style="28" customWidth="1"/>
    <col min="9" max="9" width="12.42578125" style="28" customWidth="1"/>
    <col min="10" max="10" width="11.7109375" style="28" customWidth="1"/>
    <col min="11" max="11" width="13.42578125" style="28" customWidth="1"/>
    <col min="12" max="12" width="11.7109375" style="28" customWidth="1"/>
    <col min="13" max="13" width="12.28515625" style="28" customWidth="1"/>
    <col min="14" max="14" width="11.7109375" style="28" customWidth="1"/>
    <col min="15" max="15" width="12.28515625" style="28" customWidth="1"/>
    <col min="16" max="16" width="11.7109375" style="28" customWidth="1"/>
    <col min="17" max="17" width="11.85546875" style="28" customWidth="1"/>
    <col min="18" max="16384" width="9.140625" style="28"/>
  </cols>
  <sheetData>
    <row r="1" spans="1:17" ht="3.75" customHeight="1" thickBot="1"/>
    <row r="2" spans="1:17" ht="54.75" customHeight="1" thickBot="1">
      <c r="B2" s="38"/>
      <c r="C2" s="393" t="s">
        <v>37</v>
      </c>
      <c r="D2" s="394"/>
      <c r="E2" s="394"/>
      <c r="F2" s="394"/>
      <c r="G2" s="394"/>
      <c r="H2" s="394"/>
      <c r="I2" s="394"/>
      <c r="J2" s="394"/>
      <c r="K2" s="395"/>
    </row>
    <row r="3" spans="1:17" ht="11.25" customHeight="1">
      <c r="B3" s="29"/>
      <c r="C3" s="29"/>
      <c r="D3" s="29"/>
      <c r="E3" s="29"/>
      <c r="F3" s="29"/>
      <c r="G3" s="29"/>
      <c r="H3" s="29"/>
      <c r="I3" s="29"/>
    </row>
    <row r="4" spans="1:17" ht="12.75" customHeight="1">
      <c r="B4" s="398" t="str">
        <f>'DADOS CURVA ABC'!C2</f>
        <v>REFORMA DA CÂMARA MUNICIPAL DE INDAIATUBA</v>
      </c>
      <c r="C4" s="399"/>
      <c r="D4" s="399"/>
      <c r="E4" s="399"/>
      <c r="F4" s="399"/>
      <c r="G4" s="399"/>
      <c r="H4" s="399"/>
      <c r="I4" s="399"/>
      <c r="J4" s="399"/>
      <c r="K4" s="400"/>
      <c r="L4" s="30"/>
    </row>
    <row r="5" spans="1:17" ht="3.75" customHeight="1">
      <c r="B5" s="396"/>
      <c r="C5" s="396"/>
      <c r="D5" s="396"/>
      <c r="E5" s="396"/>
      <c r="F5" s="397"/>
      <c r="G5" s="397"/>
      <c r="H5" s="397"/>
      <c r="I5" s="397"/>
      <c r="J5" s="397"/>
      <c r="K5" s="53"/>
    </row>
    <row r="6" spans="1:17" ht="12.75" customHeight="1">
      <c r="B6" s="404" t="str">
        <f>CONCATENATE('DADOS CURVA ABC'!B4," ",'DADOS CURVA ABC'!C4)</f>
        <v xml:space="preserve"> PROPONENTE: CÂMARA MUNICIPAL DE INDAIATUBA - SP</v>
      </c>
      <c r="C6" s="405"/>
      <c r="D6" s="405"/>
      <c r="E6" s="405"/>
      <c r="F6" s="405"/>
      <c r="G6" s="406"/>
      <c r="H6" s="401" t="str">
        <f>CONCATENATE(" VALOR DO INVESTIMENTO: ",TEXT(D35,"R$#.##0,00"))</f>
        <v xml:space="preserve"> VALOR DO INVESTIMENTO: R$0,00</v>
      </c>
      <c r="I6" s="402"/>
      <c r="J6" s="402"/>
      <c r="K6" s="403"/>
      <c r="L6" s="30"/>
    </row>
    <row r="7" spans="1:17" ht="3.75" customHeight="1">
      <c r="B7" s="407"/>
      <c r="C7" s="407"/>
      <c r="D7" s="407"/>
      <c r="E7" s="407"/>
      <c r="F7" s="397"/>
      <c r="G7" s="397"/>
      <c r="H7" s="397"/>
      <c r="I7" s="397"/>
      <c r="J7" s="397"/>
      <c r="K7" s="54"/>
    </row>
    <row r="8" spans="1:17" ht="12.75" customHeight="1">
      <c r="B8" s="404" t="str">
        <f>CONCATENATE('PLAN ORÇAM'!B8," ",'PLAN ORÇAM'!C8)</f>
        <v xml:space="preserve">CNPJ: </v>
      </c>
      <c r="C8" s="405"/>
      <c r="D8" s="405"/>
      <c r="E8" s="405"/>
      <c r="F8" s="405"/>
      <c r="G8" s="406"/>
      <c r="H8" s="401" t="s">
        <v>166</v>
      </c>
      <c r="I8" s="402"/>
      <c r="J8" s="402"/>
      <c r="K8" s="403"/>
    </row>
    <row r="9" spans="1:17" ht="11.25" customHeight="1" thickBot="1">
      <c r="B9" s="31"/>
      <c r="C9" s="32"/>
      <c r="D9" s="33"/>
      <c r="E9" s="33"/>
      <c r="F9" s="34"/>
      <c r="G9" s="34"/>
      <c r="H9" s="34"/>
      <c r="I9" s="34"/>
    </row>
    <row r="10" spans="1:17" ht="22.5" customHeight="1" thickBot="1">
      <c r="A10" s="35"/>
      <c r="B10" s="386" t="s">
        <v>2</v>
      </c>
      <c r="C10" s="389" t="s">
        <v>4</v>
      </c>
      <c r="D10" s="391" t="s">
        <v>28</v>
      </c>
      <c r="E10" s="391" t="s">
        <v>34</v>
      </c>
      <c r="F10" s="377" t="s">
        <v>30</v>
      </c>
      <c r="G10" s="378"/>
      <c r="H10" s="377" t="s">
        <v>31</v>
      </c>
      <c r="I10" s="378"/>
      <c r="J10" s="388" t="s">
        <v>39</v>
      </c>
      <c r="K10" s="378"/>
      <c r="L10" s="377" t="s">
        <v>75</v>
      </c>
      <c r="M10" s="378"/>
      <c r="N10" s="377" t="s">
        <v>76</v>
      </c>
      <c r="O10" s="378"/>
      <c r="P10" s="377" t="s">
        <v>103</v>
      </c>
      <c r="Q10" s="378"/>
    </row>
    <row r="11" spans="1:17" ht="21" customHeight="1" thickBot="1">
      <c r="A11" s="35"/>
      <c r="B11" s="387"/>
      <c r="C11" s="390"/>
      <c r="D11" s="392"/>
      <c r="E11" s="392"/>
      <c r="F11" s="36" t="s">
        <v>32</v>
      </c>
      <c r="G11" s="37" t="s">
        <v>33</v>
      </c>
      <c r="H11" s="36" t="s">
        <v>32</v>
      </c>
      <c r="I11" s="37" t="s">
        <v>33</v>
      </c>
      <c r="J11" s="36" t="s">
        <v>32</v>
      </c>
      <c r="K11" s="37" t="s">
        <v>33</v>
      </c>
      <c r="L11" s="36" t="s">
        <v>32</v>
      </c>
      <c r="M11" s="37" t="s">
        <v>33</v>
      </c>
      <c r="N11" s="36" t="s">
        <v>32</v>
      </c>
      <c r="O11" s="37" t="s">
        <v>33</v>
      </c>
      <c r="P11" s="36" t="s">
        <v>32</v>
      </c>
      <c r="Q11" s="37" t="s">
        <v>33</v>
      </c>
    </row>
    <row r="12" spans="1:17" ht="7.5" customHeight="1">
      <c r="B12" s="38"/>
      <c r="C12" s="39"/>
      <c r="D12" s="40"/>
      <c r="E12" s="4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19.899999999999999" customHeight="1">
      <c r="B13" s="108">
        <v>1</v>
      </c>
      <c r="C13" s="101" t="s">
        <v>165</v>
      </c>
      <c r="D13" s="102">
        <f>'PLAN ORÇAM'!R19</f>
        <v>0</v>
      </c>
      <c r="E13" s="109" t="e">
        <f>D13/$D$35</f>
        <v>#DIV/0!</v>
      </c>
      <c r="F13" s="110">
        <v>16.66</v>
      </c>
      <c r="G13" s="110">
        <f>F13</f>
        <v>16.66</v>
      </c>
      <c r="H13" s="110">
        <v>16.66</v>
      </c>
      <c r="I13" s="110">
        <f>H13+G13</f>
        <v>33.32</v>
      </c>
      <c r="J13" s="110">
        <v>16.670000000000002</v>
      </c>
      <c r="K13" s="110">
        <f>J13+I13</f>
        <v>49.99</v>
      </c>
      <c r="L13" s="110">
        <v>16.670000000000002</v>
      </c>
      <c r="M13" s="110">
        <f>L13+K13</f>
        <v>66.66</v>
      </c>
      <c r="N13" s="110">
        <v>16.670000000000002</v>
      </c>
      <c r="O13" s="110">
        <f>N13+M13</f>
        <v>83.33</v>
      </c>
      <c r="P13" s="110">
        <v>16.670000000000002</v>
      </c>
      <c r="Q13" s="110">
        <f>P13+O13</f>
        <v>100</v>
      </c>
    </row>
    <row r="14" spans="1:17" ht="19.899999999999999" customHeight="1">
      <c r="B14" s="108">
        <v>2</v>
      </c>
      <c r="C14" s="101" t="s">
        <v>238</v>
      </c>
      <c r="D14" s="102">
        <f>'PLAN ORÇAM'!R20</f>
        <v>0</v>
      </c>
      <c r="E14" s="109" t="e">
        <f t="shared" ref="E14:E19" si="0">D14/$D$35</f>
        <v>#DIV/0!</v>
      </c>
      <c r="F14" s="110">
        <v>16.66</v>
      </c>
      <c r="G14" s="110">
        <f t="shared" ref="G14:G32" si="1">F14</f>
        <v>16.66</v>
      </c>
      <c r="H14" s="110">
        <v>16.66</v>
      </c>
      <c r="I14" s="110">
        <f t="shared" ref="I14:I32" si="2">H14+G14</f>
        <v>33.32</v>
      </c>
      <c r="J14" s="110">
        <v>16.670000000000002</v>
      </c>
      <c r="K14" s="110">
        <f t="shared" ref="K14:K32" si="3">J14+I14</f>
        <v>49.99</v>
      </c>
      <c r="L14" s="110">
        <v>16.670000000000002</v>
      </c>
      <c r="M14" s="110">
        <f t="shared" ref="M14:M32" si="4">L14+K14</f>
        <v>66.66</v>
      </c>
      <c r="N14" s="110">
        <v>16.670000000000002</v>
      </c>
      <c r="O14" s="110">
        <f t="shared" ref="O14:O32" si="5">N14+M14</f>
        <v>83.33</v>
      </c>
      <c r="P14" s="110">
        <v>16.670000000000002</v>
      </c>
      <c r="Q14" s="110">
        <f t="shared" ref="Q14:Q32" si="6">P14+O14</f>
        <v>100</v>
      </c>
    </row>
    <row r="15" spans="1:17" ht="19.899999999999999" customHeight="1">
      <c r="B15" s="108">
        <v>3</v>
      </c>
      <c r="C15" s="101" t="s">
        <v>89</v>
      </c>
      <c r="D15" s="102">
        <f>'PLAN ORÇAM'!R21</f>
        <v>0</v>
      </c>
      <c r="E15" s="109" t="e">
        <f t="shared" si="0"/>
        <v>#DIV/0!</v>
      </c>
      <c r="F15" s="110">
        <v>100</v>
      </c>
      <c r="G15" s="110">
        <f t="shared" si="1"/>
        <v>100</v>
      </c>
      <c r="H15" s="110"/>
      <c r="I15" s="110">
        <f t="shared" si="2"/>
        <v>100</v>
      </c>
      <c r="J15" s="110"/>
      <c r="K15" s="110">
        <f t="shared" si="3"/>
        <v>100</v>
      </c>
      <c r="L15" s="110"/>
      <c r="M15" s="110">
        <f t="shared" si="4"/>
        <v>100</v>
      </c>
      <c r="N15" s="110"/>
      <c r="O15" s="110">
        <f t="shared" si="5"/>
        <v>100</v>
      </c>
      <c r="P15" s="110"/>
      <c r="Q15" s="110">
        <f t="shared" si="6"/>
        <v>100</v>
      </c>
    </row>
    <row r="16" spans="1:17" ht="19.899999999999999" customHeight="1">
      <c r="B16" s="108">
        <v>4</v>
      </c>
      <c r="C16" s="101" t="s">
        <v>782</v>
      </c>
      <c r="D16" s="102">
        <f>'PLAN ORÇAM'!R22</f>
        <v>0</v>
      </c>
      <c r="E16" s="109" t="e">
        <f t="shared" si="0"/>
        <v>#DIV/0!</v>
      </c>
      <c r="F16" s="110">
        <v>100</v>
      </c>
      <c r="G16" s="110">
        <f t="shared" si="1"/>
        <v>100</v>
      </c>
      <c r="H16" s="110"/>
      <c r="I16" s="110">
        <f t="shared" si="2"/>
        <v>100</v>
      </c>
      <c r="J16" s="110"/>
      <c r="K16" s="110">
        <f t="shared" si="3"/>
        <v>100</v>
      </c>
      <c r="L16" s="110"/>
      <c r="M16" s="110">
        <f t="shared" si="4"/>
        <v>100</v>
      </c>
      <c r="N16" s="110"/>
      <c r="O16" s="110">
        <f t="shared" si="5"/>
        <v>100</v>
      </c>
      <c r="P16" s="110"/>
      <c r="Q16" s="110">
        <f t="shared" si="6"/>
        <v>100</v>
      </c>
    </row>
    <row r="17" spans="2:17" ht="19.899999999999999" customHeight="1">
      <c r="B17" s="108">
        <v>5</v>
      </c>
      <c r="C17" s="101" t="s">
        <v>803</v>
      </c>
      <c r="D17" s="102">
        <f>'PLAN ORÇAM'!R23</f>
        <v>0</v>
      </c>
      <c r="E17" s="109" t="e">
        <f t="shared" si="0"/>
        <v>#DIV/0!</v>
      </c>
      <c r="F17" s="110">
        <v>25</v>
      </c>
      <c r="G17" s="110">
        <f t="shared" si="1"/>
        <v>25</v>
      </c>
      <c r="H17" s="110">
        <v>75</v>
      </c>
      <c r="I17" s="110">
        <f t="shared" si="2"/>
        <v>100</v>
      </c>
      <c r="J17" s="110"/>
      <c r="K17" s="110">
        <f t="shared" si="3"/>
        <v>100</v>
      </c>
      <c r="L17" s="110"/>
      <c r="M17" s="110">
        <f t="shared" si="4"/>
        <v>100</v>
      </c>
      <c r="N17" s="110"/>
      <c r="O17" s="110">
        <f t="shared" si="5"/>
        <v>100</v>
      </c>
      <c r="P17" s="110"/>
      <c r="Q17" s="110">
        <f t="shared" si="6"/>
        <v>100</v>
      </c>
    </row>
    <row r="18" spans="2:17" ht="19.899999999999999" customHeight="1">
      <c r="B18" s="108">
        <v>6</v>
      </c>
      <c r="C18" s="101" t="s">
        <v>817</v>
      </c>
      <c r="D18" s="102">
        <f>'PLAN ORÇAM'!R24</f>
        <v>0</v>
      </c>
      <c r="E18" s="109" t="e">
        <f t="shared" si="0"/>
        <v>#DIV/0!</v>
      </c>
      <c r="F18" s="110"/>
      <c r="G18" s="110">
        <f t="shared" si="1"/>
        <v>0</v>
      </c>
      <c r="H18" s="110"/>
      <c r="I18" s="110">
        <f t="shared" si="2"/>
        <v>0</v>
      </c>
      <c r="J18" s="110"/>
      <c r="K18" s="110">
        <f t="shared" si="3"/>
        <v>0</v>
      </c>
      <c r="L18" s="110">
        <v>100</v>
      </c>
      <c r="M18" s="110">
        <f t="shared" si="4"/>
        <v>100</v>
      </c>
      <c r="N18" s="110"/>
      <c r="O18" s="110">
        <f t="shared" si="5"/>
        <v>100</v>
      </c>
      <c r="P18" s="110"/>
      <c r="Q18" s="110">
        <f t="shared" si="6"/>
        <v>100</v>
      </c>
    </row>
    <row r="19" spans="2:17" ht="19.899999999999999" customHeight="1">
      <c r="B19" s="108">
        <v>7</v>
      </c>
      <c r="C19" s="101" t="s">
        <v>123</v>
      </c>
      <c r="D19" s="102">
        <f>'PLAN ORÇAM'!R25</f>
        <v>0</v>
      </c>
      <c r="E19" s="109" t="e">
        <f t="shared" si="0"/>
        <v>#DIV/0!</v>
      </c>
      <c r="F19" s="110">
        <v>20</v>
      </c>
      <c r="G19" s="110">
        <f t="shared" si="1"/>
        <v>20</v>
      </c>
      <c r="H19" s="110">
        <v>20</v>
      </c>
      <c r="I19" s="110">
        <f t="shared" si="2"/>
        <v>40</v>
      </c>
      <c r="J19" s="110">
        <v>20</v>
      </c>
      <c r="K19" s="110">
        <f t="shared" si="3"/>
        <v>60</v>
      </c>
      <c r="L19" s="110">
        <v>20</v>
      </c>
      <c r="M19" s="110">
        <f t="shared" si="4"/>
        <v>80</v>
      </c>
      <c r="N19" s="110">
        <v>20</v>
      </c>
      <c r="O19" s="110">
        <f t="shared" si="5"/>
        <v>100</v>
      </c>
      <c r="P19" s="110"/>
      <c r="Q19" s="110">
        <f t="shared" si="6"/>
        <v>100</v>
      </c>
    </row>
    <row r="20" spans="2:17" ht="19.899999999999999" customHeight="1">
      <c r="B20" s="108">
        <v>8</v>
      </c>
      <c r="C20" s="101" t="s">
        <v>405</v>
      </c>
      <c r="D20" s="102">
        <f>'PLAN ORÇAM'!R26</f>
        <v>0</v>
      </c>
      <c r="E20" s="109" t="e">
        <f>D20/$D$35</f>
        <v>#DIV/0!</v>
      </c>
      <c r="F20" s="110"/>
      <c r="G20" s="110">
        <f t="shared" si="1"/>
        <v>0</v>
      </c>
      <c r="H20" s="110"/>
      <c r="I20" s="110">
        <f t="shared" si="2"/>
        <v>0</v>
      </c>
      <c r="J20" s="110"/>
      <c r="K20" s="110">
        <f t="shared" si="3"/>
        <v>0</v>
      </c>
      <c r="L20" s="110">
        <v>50</v>
      </c>
      <c r="M20" s="110">
        <f t="shared" si="4"/>
        <v>50</v>
      </c>
      <c r="N20" s="110">
        <v>50</v>
      </c>
      <c r="O20" s="110">
        <f t="shared" si="5"/>
        <v>100</v>
      </c>
      <c r="P20" s="110"/>
      <c r="Q20" s="110">
        <f t="shared" si="6"/>
        <v>100</v>
      </c>
    </row>
    <row r="21" spans="2:17" ht="19.899999999999999" customHeight="1">
      <c r="B21" s="108">
        <v>9</v>
      </c>
      <c r="C21" s="101" t="s">
        <v>391</v>
      </c>
      <c r="D21" s="102">
        <f>'PLAN ORÇAM'!R27</f>
        <v>0</v>
      </c>
      <c r="E21" s="109" t="e">
        <f t="shared" ref="E21:E32" si="7">D21/$D$35</f>
        <v>#DIV/0!</v>
      </c>
      <c r="F21" s="110">
        <v>25</v>
      </c>
      <c r="G21" s="110">
        <f t="shared" si="1"/>
        <v>25</v>
      </c>
      <c r="H21" s="110">
        <v>50</v>
      </c>
      <c r="I21" s="110">
        <f t="shared" si="2"/>
        <v>75</v>
      </c>
      <c r="J21" s="110">
        <v>25</v>
      </c>
      <c r="K21" s="110">
        <f t="shared" si="3"/>
        <v>100</v>
      </c>
      <c r="L21" s="110"/>
      <c r="M21" s="110">
        <f t="shared" si="4"/>
        <v>100</v>
      </c>
      <c r="N21" s="110"/>
      <c r="O21" s="110">
        <f t="shared" si="5"/>
        <v>100</v>
      </c>
      <c r="P21" s="110"/>
      <c r="Q21" s="110">
        <f t="shared" si="6"/>
        <v>100</v>
      </c>
    </row>
    <row r="22" spans="2:17" ht="19.899999999999999" customHeight="1">
      <c r="B22" s="108">
        <v>10</v>
      </c>
      <c r="C22" s="101" t="s">
        <v>731</v>
      </c>
      <c r="D22" s="102">
        <f>'PLAN ORÇAM'!R28</f>
        <v>0</v>
      </c>
      <c r="E22" s="109" t="e">
        <f t="shared" si="7"/>
        <v>#DIV/0!</v>
      </c>
      <c r="F22" s="110"/>
      <c r="G22" s="110">
        <f t="shared" si="1"/>
        <v>0</v>
      </c>
      <c r="H22" s="110">
        <v>50</v>
      </c>
      <c r="I22" s="110">
        <f t="shared" si="2"/>
        <v>50</v>
      </c>
      <c r="J22" s="110">
        <v>50</v>
      </c>
      <c r="K22" s="110">
        <f t="shared" si="3"/>
        <v>100</v>
      </c>
      <c r="L22" s="110"/>
      <c r="M22" s="110">
        <f t="shared" si="4"/>
        <v>100</v>
      </c>
      <c r="N22" s="110"/>
      <c r="O22" s="110">
        <f t="shared" si="5"/>
        <v>100</v>
      </c>
      <c r="P22" s="110"/>
      <c r="Q22" s="110">
        <f t="shared" si="6"/>
        <v>100</v>
      </c>
    </row>
    <row r="23" spans="2:17" ht="19.899999999999999" customHeight="1">
      <c r="B23" s="108">
        <v>11</v>
      </c>
      <c r="C23" s="101" t="s">
        <v>110</v>
      </c>
      <c r="D23" s="102">
        <f>'PLAN ORÇAM'!R29</f>
        <v>0</v>
      </c>
      <c r="E23" s="109" t="e">
        <f t="shared" si="7"/>
        <v>#DIV/0!</v>
      </c>
      <c r="F23" s="110"/>
      <c r="G23" s="110">
        <f t="shared" si="1"/>
        <v>0</v>
      </c>
      <c r="H23" s="110"/>
      <c r="I23" s="110">
        <f t="shared" si="2"/>
        <v>0</v>
      </c>
      <c r="J23" s="110"/>
      <c r="K23" s="110">
        <f t="shared" si="3"/>
        <v>0</v>
      </c>
      <c r="L23" s="110">
        <v>25</v>
      </c>
      <c r="M23" s="110">
        <f t="shared" si="4"/>
        <v>25</v>
      </c>
      <c r="N23" s="110">
        <v>25</v>
      </c>
      <c r="O23" s="110">
        <f t="shared" si="5"/>
        <v>50</v>
      </c>
      <c r="P23" s="110">
        <v>50</v>
      </c>
      <c r="Q23" s="110">
        <f t="shared" si="6"/>
        <v>100</v>
      </c>
    </row>
    <row r="24" spans="2:17" ht="19.899999999999999" customHeight="1">
      <c r="B24" s="108">
        <v>12</v>
      </c>
      <c r="C24" s="101" t="s">
        <v>676</v>
      </c>
      <c r="D24" s="102">
        <f>'PLAN ORÇAM'!R30</f>
        <v>0</v>
      </c>
      <c r="E24" s="109" t="e">
        <f t="shared" si="7"/>
        <v>#DIV/0!</v>
      </c>
      <c r="F24" s="110"/>
      <c r="G24" s="110">
        <f t="shared" si="1"/>
        <v>0</v>
      </c>
      <c r="H24" s="110"/>
      <c r="I24" s="110">
        <f t="shared" si="2"/>
        <v>0</v>
      </c>
      <c r="J24" s="110"/>
      <c r="K24" s="110">
        <f t="shared" si="3"/>
        <v>0</v>
      </c>
      <c r="L24" s="110">
        <v>25</v>
      </c>
      <c r="M24" s="110">
        <f t="shared" si="4"/>
        <v>25</v>
      </c>
      <c r="N24" s="110">
        <v>25</v>
      </c>
      <c r="O24" s="110">
        <f t="shared" si="5"/>
        <v>50</v>
      </c>
      <c r="P24" s="110">
        <v>50</v>
      </c>
      <c r="Q24" s="110">
        <f t="shared" si="6"/>
        <v>100</v>
      </c>
    </row>
    <row r="25" spans="2:17" ht="19.899999999999999" customHeight="1">
      <c r="B25" s="108">
        <v>13</v>
      </c>
      <c r="C25" s="116" t="s">
        <v>121</v>
      </c>
      <c r="D25" s="102">
        <f>'PLAN ORÇAM'!R31</f>
        <v>0</v>
      </c>
      <c r="E25" s="109" t="e">
        <f t="shared" si="7"/>
        <v>#DIV/0!</v>
      </c>
      <c r="F25" s="110"/>
      <c r="G25" s="110">
        <f t="shared" si="1"/>
        <v>0</v>
      </c>
      <c r="H25" s="110"/>
      <c r="I25" s="110">
        <f t="shared" si="2"/>
        <v>0</v>
      </c>
      <c r="J25" s="110">
        <v>50</v>
      </c>
      <c r="K25" s="110">
        <f t="shared" si="3"/>
        <v>50</v>
      </c>
      <c r="L25" s="110">
        <v>50</v>
      </c>
      <c r="M25" s="110">
        <f t="shared" si="4"/>
        <v>100</v>
      </c>
      <c r="N25" s="110"/>
      <c r="O25" s="110">
        <f t="shared" si="5"/>
        <v>100</v>
      </c>
      <c r="P25" s="110"/>
      <c r="Q25" s="110">
        <f t="shared" si="6"/>
        <v>100</v>
      </c>
    </row>
    <row r="26" spans="2:17" ht="19.899999999999999" customHeight="1">
      <c r="B26" s="108">
        <v>14</v>
      </c>
      <c r="C26" s="101" t="s">
        <v>109</v>
      </c>
      <c r="D26" s="102">
        <f>'PLAN ORÇAM'!R32</f>
        <v>0</v>
      </c>
      <c r="E26" s="109" t="e">
        <f t="shared" si="7"/>
        <v>#DIV/0!</v>
      </c>
      <c r="F26" s="110"/>
      <c r="G26" s="110">
        <f t="shared" si="1"/>
        <v>0</v>
      </c>
      <c r="H26" s="110"/>
      <c r="I26" s="110">
        <f t="shared" si="2"/>
        <v>0</v>
      </c>
      <c r="J26" s="110">
        <v>50</v>
      </c>
      <c r="K26" s="110">
        <f t="shared" si="3"/>
        <v>50</v>
      </c>
      <c r="L26" s="110">
        <v>50</v>
      </c>
      <c r="M26" s="110">
        <f t="shared" si="4"/>
        <v>100</v>
      </c>
      <c r="N26" s="110"/>
      <c r="O26" s="110">
        <f t="shared" si="5"/>
        <v>100</v>
      </c>
      <c r="P26" s="110"/>
      <c r="Q26" s="110">
        <f t="shared" si="6"/>
        <v>100</v>
      </c>
    </row>
    <row r="27" spans="2:17" ht="19.899999999999999" customHeight="1">
      <c r="B27" s="108">
        <v>15</v>
      </c>
      <c r="C27" s="101" t="s">
        <v>449</v>
      </c>
      <c r="D27" s="102">
        <f>'PLAN ORÇAM'!R33</f>
        <v>0</v>
      </c>
      <c r="E27" s="109" t="e">
        <f t="shared" si="7"/>
        <v>#DIV/0!</v>
      </c>
      <c r="F27" s="110">
        <v>10</v>
      </c>
      <c r="G27" s="110">
        <f t="shared" si="1"/>
        <v>10</v>
      </c>
      <c r="H27" s="110">
        <v>25</v>
      </c>
      <c r="I27" s="110">
        <f t="shared" si="2"/>
        <v>35</v>
      </c>
      <c r="J27" s="110">
        <v>25</v>
      </c>
      <c r="K27" s="110">
        <f t="shared" si="3"/>
        <v>60</v>
      </c>
      <c r="L27" s="110">
        <v>40</v>
      </c>
      <c r="M27" s="110">
        <f t="shared" si="4"/>
        <v>100</v>
      </c>
      <c r="N27" s="110"/>
      <c r="O27" s="110">
        <f t="shared" si="5"/>
        <v>100</v>
      </c>
      <c r="P27" s="110"/>
      <c r="Q27" s="110">
        <f t="shared" si="6"/>
        <v>100</v>
      </c>
    </row>
    <row r="28" spans="2:17" ht="26.25" customHeight="1">
      <c r="B28" s="108">
        <v>16</v>
      </c>
      <c r="C28" s="101" t="s">
        <v>454</v>
      </c>
      <c r="D28" s="102">
        <f>'PLAN ORÇAM'!R34</f>
        <v>0</v>
      </c>
      <c r="E28" s="109" t="e">
        <f t="shared" si="7"/>
        <v>#DIV/0!</v>
      </c>
      <c r="F28" s="110">
        <v>10</v>
      </c>
      <c r="G28" s="110">
        <f t="shared" si="1"/>
        <v>10</v>
      </c>
      <c r="H28" s="110">
        <v>25</v>
      </c>
      <c r="I28" s="110">
        <f t="shared" si="2"/>
        <v>35</v>
      </c>
      <c r="J28" s="110">
        <v>25</v>
      </c>
      <c r="K28" s="110">
        <f t="shared" si="3"/>
        <v>60</v>
      </c>
      <c r="L28" s="110">
        <v>40</v>
      </c>
      <c r="M28" s="110">
        <f t="shared" si="4"/>
        <v>100</v>
      </c>
      <c r="N28" s="110"/>
      <c r="O28" s="110">
        <f t="shared" si="5"/>
        <v>100</v>
      </c>
      <c r="P28" s="110"/>
      <c r="Q28" s="110">
        <f t="shared" si="6"/>
        <v>100</v>
      </c>
    </row>
    <row r="29" spans="2:17" ht="19.899999999999999" customHeight="1">
      <c r="B29" s="108">
        <v>17</v>
      </c>
      <c r="C29" s="101" t="s">
        <v>643</v>
      </c>
      <c r="D29" s="102">
        <f>'PLAN ORÇAM'!R35</f>
        <v>0</v>
      </c>
      <c r="E29" s="109" t="e">
        <f>D29/$D$35</f>
        <v>#DIV/0!</v>
      </c>
      <c r="F29" s="110"/>
      <c r="G29" s="110">
        <f t="shared" si="1"/>
        <v>0</v>
      </c>
      <c r="H29" s="110"/>
      <c r="I29" s="110">
        <f t="shared" si="2"/>
        <v>0</v>
      </c>
      <c r="J29" s="110"/>
      <c r="K29" s="110">
        <f t="shared" si="3"/>
        <v>0</v>
      </c>
      <c r="L29" s="110">
        <v>25</v>
      </c>
      <c r="M29" s="110">
        <f t="shared" si="4"/>
        <v>25</v>
      </c>
      <c r="N29" s="110">
        <v>50</v>
      </c>
      <c r="O29" s="110">
        <f t="shared" si="5"/>
        <v>75</v>
      </c>
      <c r="P29" s="110">
        <v>25</v>
      </c>
      <c r="Q29" s="110">
        <f t="shared" si="6"/>
        <v>100</v>
      </c>
    </row>
    <row r="30" spans="2:17" ht="19.899999999999999" customHeight="1">
      <c r="B30" s="108">
        <v>18</v>
      </c>
      <c r="C30" s="101" t="s">
        <v>67</v>
      </c>
      <c r="D30" s="102">
        <f>'PLAN ORÇAM'!R36</f>
        <v>0</v>
      </c>
      <c r="E30" s="109" t="e">
        <f t="shared" si="7"/>
        <v>#DIV/0!</v>
      </c>
      <c r="F30" s="110">
        <v>10</v>
      </c>
      <c r="G30" s="110">
        <f t="shared" si="1"/>
        <v>10</v>
      </c>
      <c r="H30" s="110">
        <v>20</v>
      </c>
      <c r="I30" s="110">
        <f t="shared" si="2"/>
        <v>30</v>
      </c>
      <c r="J30" s="110">
        <v>25</v>
      </c>
      <c r="K30" s="110">
        <f t="shared" si="3"/>
        <v>55</v>
      </c>
      <c r="L30" s="110">
        <v>20</v>
      </c>
      <c r="M30" s="110">
        <f t="shared" si="4"/>
        <v>75</v>
      </c>
      <c r="N30" s="110">
        <v>15</v>
      </c>
      <c r="O30" s="110">
        <f t="shared" si="5"/>
        <v>90</v>
      </c>
      <c r="P30" s="110">
        <v>10</v>
      </c>
      <c r="Q30" s="110">
        <f t="shared" si="6"/>
        <v>100</v>
      </c>
    </row>
    <row r="31" spans="2:17" ht="24.75" customHeight="1">
      <c r="B31" s="108">
        <v>19</v>
      </c>
      <c r="C31" s="101" t="s">
        <v>242</v>
      </c>
      <c r="D31" s="102">
        <f>'PLAN ORÇAM'!R37</f>
        <v>0</v>
      </c>
      <c r="E31" s="109" t="e">
        <f t="shared" si="7"/>
        <v>#DIV/0!</v>
      </c>
      <c r="F31" s="110"/>
      <c r="G31" s="110">
        <f t="shared" si="1"/>
        <v>0</v>
      </c>
      <c r="H31" s="110"/>
      <c r="I31" s="110">
        <f t="shared" si="2"/>
        <v>0</v>
      </c>
      <c r="J31" s="110"/>
      <c r="K31" s="110">
        <f t="shared" si="3"/>
        <v>0</v>
      </c>
      <c r="L31" s="110"/>
      <c r="M31" s="110">
        <f t="shared" si="4"/>
        <v>0</v>
      </c>
      <c r="N31" s="110">
        <v>100</v>
      </c>
      <c r="O31" s="110">
        <f t="shared" si="5"/>
        <v>100</v>
      </c>
      <c r="P31" s="110"/>
      <c r="Q31" s="110">
        <f t="shared" si="6"/>
        <v>100</v>
      </c>
    </row>
    <row r="32" spans="2:17" ht="22.5" customHeight="1">
      <c r="B32" s="108">
        <v>20</v>
      </c>
      <c r="C32" s="101" t="s">
        <v>257</v>
      </c>
      <c r="D32" s="102">
        <f>'PLAN ORÇAM'!R38</f>
        <v>0</v>
      </c>
      <c r="E32" s="109" t="e">
        <f t="shared" si="7"/>
        <v>#DIV/0!</v>
      </c>
      <c r="F32" s="110"/>
      <c r="G32" s="110">
        <f t="shared" si="1"/>
        <v>0</v>
      </c>
      <c r="H32" s="110">
        <v>25</v>
      </c>
      <c r="I32" s="110">
        <f t="shared" si="2"/>
        <v>25</v>
      </c>
      <c r="J32" s="110">
        <v>25</v>
      </c>
      <c r="K32" s="110">
        <f t="shared" si="3"/>
        <v>50</v>
      </c>
      <c r="L32" s="110">
        <v>25</v>
      </c>
      <c r="M32" s="110">
        <f t="shared" si="4"/>
        <v>75</v>
      </c>
      <c r="N32" s="110">
        <v>25</v>
      </c>
      <c r="O32" s="110">
        <f t="shared" si="5"/>
        <v>100</v>
      </c>
      <c r="P32" s="110"/>
      <c r="Q32" s="110">
        <f t="shared" si="6"/>
        <v>100</v>
      </c>
    </row>
    <row r="33" spans="2:17" ht="15.75" thickBot="1">
      <c r="B33" s="51"/>
      <c r="C33" s="24"/>
      <c r="D33" s="52"/>
      <c r="E33" s="25"/>
    </row>
    <row r="34" spans="2:17" ht="15.75" thickBot="1">
      <c r="B34" s="382" t="s">
        <v>36</v>
      </c>
      <c r="C34" s="383"/>
      <c r="D34" s="26"/>
      <c r="E34" s="41" t="e">
        <f>SUM(E13:E32)</f>
        <v>#DIV/0!</v>
      </c>
      <c r="F34" s="42" t="e">
        <f>IF(SUM(F13:F32)=0,0,SUMPRODUCT(E13:E32,F13:F32))</f>
        <v>#DIV/0!</v>
      </c>
      <c r="G34" s="43" t="e">
        <f>F34</f>
        <v>#DIV/0!</v>
      </c>
      <c r="H34" s="42" t="e">
        <f>IF(SUM(H13:H32)=0,0,SUMPRODUCT(E13:E32,H13:H32))</f>
        <v>#DIV/0!</v>
      </c>
      <c r="I34" s="43" t="e">
        <f>H34+G34</f>
        <v>#DIV/0!</v>
      </c>
      <c r="J34" s="42" t="e">
        <f>IF(SUM(J13:J32)=0,0,SUMPRODUCT(E13:E32,J13:J32))</f>
        <v>#DIV/0!</v>
      </c>
      <c r="K34" s="43" t="e">
        <f>J34+I34</f>
        <v>#DIV/0!</v>
      </c>
      <c r="L34" s="42" t="e">
        <f>IF(SUM(L13:L32)=0,0,SUMPRODUCT(E13:E32,L13:L32))</f>
        <v>#DIV/0!</v>
      </c>
      <c r="M34" s="43" t="e">
        <f>L34+K34</f>
        <v>#DIV/0!</v>
      </c>
      <c r="N34" s="42" t="e">
        <f>IF(SUM(N13:N32)=0,0,SUMPRODUCT(E13:E32,N13:N32))</f>
        <v>#DIV/0!</v>
      </c>
      <c r="O34" s="43" t="e">
        <f>N34+M34</f>
        <v>#DIV/0!</v>
      </c>
      <c r="P34" s="42" t="e">
        <f>IF(SUM(P13:P32)=0,0,SUMPRODUCT(E13:E32,P13:P32))</f>
        <v>#DIV/0!</v>
      </c>
      <c r="Q34" s="43" t="e">
        <f>P34+O34</f>
        <v>#DIV/0!</v>
      </c>
    </row>
    <row r="35" spans="2:17" ht="15.75" thickBot="1">
      <c r="B35" s="384" t="s">
        <v>35</v>
      </c>
      <c r="C35" s="385"/>
      <c r="D35" s="27">
        <f>SUM(D13:D32)</f>
        <v>0</v>
      </c>
      <c r="E35" s="44"/>
      <c r="F35" s="45">
        <f>IF(SUM(F13:F32)=0,0,SUMPRODUCT($D$13:$D$32,F13:F32)/100)</f>
        <v>0</v>
      </c>
      <c r="G35" s="46">
        <f>F35</f>
        <v>0</v>
      </c>
      <c r="H35" s="45">
        <f>IF(SUM(H13:H32)=0,0,SUMPRODUCT($D$13:$D$32,H13:H32)/100)</f>
        <v>0</v>
      </c>
      <c r="I35" s="46">
        <f>H35+G35</f>
        <v>0</v>
      </c>
      <c r="J35" s="45">
        <f>IF(SUM(J13:J32)=0,0,SUMPRODUCT($D$13:$D$32,J13:J32)/100)</f>
        <v>0</v>
      </c>
      <c r="K35" s="46">
        <f>J35+I35</f>
        <v>0</v>
      </c>
      <c r="L35" s="45">
        <f>IF(SUM(L13:L32)=0,0,SUMPRODUCT($D$13:$D$32,L13:L32)/100)</f>
        <v>0</v>
      </c>
      <c r="M35" s="46">
        <f>L35+K35</f>
        <v>0</v>
      </c>
      <c r="N35" s="45">
        <f>IF(SUM(N13:N32)=0,0,SUMPRODUCT($D$13:$D$32,N13:N32)/100)</f>
        <v>0</v>
      </c>
      <c r="O35" s="46">
        <f>N35+M35</f>
        <v>0</v>
      </c>
      <c r="P35" s="45">
        <f>IF(SUM(P13:P32)=0,0,SUMPRODUCT($D$13:$D$32,P13:P32)/100)</f>
        <v>0</v>
      </c>
      <c r="Q35" s="46">
        <f>P35+O35</f>
        <v>0</v>
      </c>
    </row>
    <row r="36" spans="2:17" ht="28.5" customHeight="1">
      <c r="B36" s="204" t="s">
        <v>1152</v>
      </c>
      <c r="C36" s="47"/>
      <c r="D36" s="48"/>
      <c r="E36" s="48"/>
      <c r="H36" s="113"/>
      <c r="I36" s="113"/>
      <c r="J36" s="113"/>
      <c r="K36" s="113"/>
    </row>
    <row r="37" spans="2:17" ht="44.25" customHeight="1">
      <c r="B37" s="47"/>
      <c r="C37" s="47"/>
      <c r="D37" s="48"/>
      <c r="E37" s="48"/>
    </row>
    <row r="38" spans="2:17">
      <c r="B38" s="47"/>
      <c r="C38" s="47"/>
      <c r="D38" s="48"/>
      <c r="E38" s="48"/>
    </row>
    <row r="39" spans="2:17" ht="11.25" customHeight="1">
      <c r="B39" s="47"/>
      <c r="C39" s="47"/>
      <c r="D39" s="48"/>
      <c r="E39" s="48"/>
      <c r="F39" s="380" t="s">
        <v>732</v>
      </c>
      <c r="G39" s="380"/>
      <c r="H39" s="380"/>
      <c r="I39" s="380"/>
      <c r="N39" s="379"/>
      <c r="O39" s="379"/>
      <c r="P39" s="379"/>
      <c r="Q39" s="379"/>
    </row>
    <row r="40" spans="2:17" ht="16.5" customHeight="1">
      <c r="B40" s="47"/>
      <c r="C40" s="47"/>
      <c r="D40" s="48"/>
      <c r="E40" s="48"/>
      <c r="F40" s="381" t="s">
        <v>733</v>
      </c>
      <c r="G40" s="381"/>
      <c r="H40" s="381"/>
      <c r="I40" s="381"/>
      <c r="N40" s="203"/>
      <c r="O40" s="203"/>
      <c r="P40" s="203"/>
      <c r="Q40" s="203"/>
    </row>
    <row r="41" spans="2:17" ht="15" customHeight="1">
      <c r="B41" s="47"/>
      <c r="C41" s="47"/>
      <c r="D41" s="48"/>
      <c r="E41" s="48"/>
      <c r="F41" s="381" t="s">
        <v>734</v>
      </c>
      <c r="G41" s="381"/>
      <c r="H41" s="381"/>
      <c r="I41" s="381"/>
      <c r="N41" s="203"/>
      <c r="O41" s="203"/>
      <c r="P41" s="203"/>
      <c r="Q41" s="203"/>
    </row>
    <row r="42" spans="2:17" ht="9.75" customHeight="1">
      <c r="B42" s="49"/>
      <c r="C42" s="49"/>
      <c r="D42" s="48"/>
      <c r="E42" s="48"/>
      <c r="H42" s="375"/>
      <c r="I42" s="376"/>
      <c r="J42" s="376"/>
      <c r="K42" s="376"/>
      <c r="N42" s="375"/>
      <c r="O42" s="376"/>
      <c r="P42" s="376"/>
      <c r="Q42" s="376"/>
    </row>
    <row r="43" spans="2:17" ht="3.75" customHeight="1" thickBot="1"/>
    <row r="44" spans="2:17" ht="54.75" customHeight="1" thickBot="1">
      <c r="B44" s="38"/>
      <c r="C44" s="393" t="s">
        <v>37</v>
      </c>
      <c r="D44" s="394"/>
      <c r="E44" s="394"/>
      <c r="F44" s="394"/>
      <c r="G44" s="394"/>
      <c r="H44" s="394"/>
      <c r="I44" s="394"/>
      <c r="J44" s="394"/>
      <c r="K44" s="395"/>
    </row>
    <row r="45" spans="2:17" ht="11.25" customHeight="1">
      <c r="B45" s="29"/>
      <c r="C45" s="29"/>
      <c r="D45" s="29"/>
      <c r="E45" s="29"/>
      <c r="F45" s="29"/>
      <c r="G45" s="29"/>
      <c r="H45" s="29"/>
      <c r="I45" s="29"/>
    </row>
    <row r="46" spans="2:17" ht="12.75" customHeight="1">
      <c r="B46" s="398" t="str">
        <f>B4</f>
        <v>REFORMA DA CÂMARA MUNICIPAL DE INDAIATUBA</v>
      </c>
      <c r="C46" s="399"/>
      <c r="D46" s="399"/>
      <c r="E46" s="399"/>
      <c r="F46" s="399"/>
      <c r="G46" s="399"/>
      <c r="H46" s="399"/>
      <c r="I46" s="399"/>
      <c r="J46" s="399"/>
      <c r="K46" s="400"/>
      <c r="L46" s="30"/>
    </row>
    <row r="47" spans="2:17" ht="3.75" customHeight="1">
      <c r="B47" s="396"/>
      <c r="C47" s="396"/>
      <c r="D47" s="396"/>
      <c r="E47" s="396"/>
      <c r="F47" s="397"/>
      <c r="G47" s="397"/>
      <c r="H47" s="397"/>
      <c r="I47" s="397"/>
      <c r="J47" s="397"/>
      <c r="K47" s="53"/>
    </row>
    <row r="48" spans="2:17" ht="12.75" customHeight="1">
      <c r="B48" s="404" t="str">
        <f>B6</f>
        <v xml:space="preserve"> PROPONENTE: CÂMARA MUNICIPAL DE INDAIATUBA - SP</v>
      </c>
      <c r="C48" s="405"/>
      <c r="D48" s="405"/>
      <c r="E48" s="405"/>
      <c r="F48" s="405"/>
      <c r="G48" s="406"/>
      <c r="H48" s="401" t="str">
        <f>H6</f>
        <v xml:space="preserve"> VALOR DO INVESTIMENTO: R$0,00</v>
      </c>
      <c r="I48" s="402"/>
      <c r="J48" s="402"/>
      <c r="K48" s="403"/>
      <c r="L48" s="30"/>
    </row>
    <row r="49" spans="1:17" ht="3.75" customHeight="1">
      <c r="B49" s="407"/>
      <c r="C49" s="407"/>
      <c r="D49" s="407"/>
      <c r="E49" s="407"/>
      <c r="F49" s="397"/>
      <c r="G49" s="397"/>
      <c r="H49" s="397"/>
      <c r="I49" s="397"/>
      <c r="J49" s="397"/>
      <c r="K49" s="54"/>
    </row>
    <row r="50" spans="1:17" ht="12.75" customHeight="1">
      <c r="B50" s="404" t="str">
        <f>B8</f>
        <v xml:space="preserve">CNPJ: </v>
      </c>
      <c r="C50" s="405"/>
      <c r="D50" s="405"/>
      <c r="E50" s="405"/>
      <c r="F50" s="405"/>
      <c r="G50" s="406"/>
      <c r="H50" s="401" t="str">
        <f>H8</f>
        <v xml:space="preserve"> TIPO DE OBRA: REFORMA</v>
      </c>
      <c r="I50" s="402"/>
      <c r="J50" s="402"/>
      <c r="K50" s="403"/>
    </row>
    <row r="51" spans="1:17" ht="11.25" customHeight="1" thickBot="1">
      <c r="B51" s="31"/>
      <c r="C51" s="32"/>
      <c r="D51" s="33"/>
      <c r="E51" s="33"/>
      <c r="F51" s="34"/>
      <c r="G51" s="34"/>
      <c r="H51" s="34"/>
      <c r="I51" s="34"/>
    </row>
    <row r="52" spans="1:17" ht="23.25" customHeight="1" thickBot="1">
      <c r="A52" s="35"/>
      <c r="B52" s="386" t="s">
        <v>2</v>
      </c>
      <c r="C52" s="389" t="s">
        <v>4</v>
      </c>
      <c r="D52" s="391" t="s">
        <v>28</v>
      </c>
      <c r="E52" s="391" t="s">
        <v>34</v>
      </c>
      <c r="F52" s="377" t="s">
        <v>77</v>
      </c>
      <c r="G52" s="378"/>
      <c r="H52" s="377" t="s">
        <v>78</v>
      </c>
      <c r="I52" s="378"/>
      <c r="J52" s="388" t="s">
        <v>104</v>
      </c>
      <c r="K52" s="378"/>
      <c r="L52" s="377" t="s">
        <v>105</v>
      </c>
      <c r="M52" s="378"/>
      <c r="N52" s="377" t="s">
        <v>106</v>
      </c>
      <c r="O52" s="378"/>
      <c r="P52" s="377" t="s">
        <v>107</v>
      </c>
      <c r="Q52" s="378"/>
    </row>
    <row r="53" spans="1:17" ht="33" customHeight="1" thickBot="1">
      <c r="A53" s="35"/>
      <c r="B53" s="387"/>
      <c r="C53" s="390"/>
      <c r="D53" s="392"/>
      <c r="E53" s="392"/>
      <c r="F53" s="36" t="s">
        <v>32</v>
      </c>
      <c r="G53" s="37" t="s">
        <v>33</v>
      </c>
      <c r="H53" s="36" t="s">
        <v>32</v>
      </c>
      <c r="I53" s="37" t="s">
        <v>33</v>
      </c>
      <c r="J53" s="36" t="s">
        <v>32</v>
      </c>
      <c r="K53" s="37" t="s">
        <v>33</v>
      </c>
      <c r="L53" s="36" t="s">
        <v>32</v>
      </c>
      <c r="M53" s="37" t="s">
        <v>33</v>
      </c>
      <c r="N53" s="36" t="s">
        <v>32</v>
      </c>
      <c r="O53" s="37" t="s">
        <v>33</v>
      </c>
      <c r="P53" s="36" t="s">
        <v>32</v>
      </c>
      <c r="Q53" s="37" t="s">
        <v>33</v>
      </c>
    </row>
    <row r="54" spans="1:17" ht="7.5" customHeight="1">
      <c r="B54" s="38"/>
      <c r="C54" s="39"/>
      <c r="D54" s="40"/>
      <c r="E54" s="4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19.899999999999999" customHeight="1">
      <c r="B55" s="108">
        <f>B13</f>
        <v>1</v>
      </c>
      <c r="C55" s="101" t="str">
        <f>C13</f>
        <v>CANTEIRO DE OBRAS</v>
      </c>
      <c r="D55" s="102">
        <f>D13</f>
        <v>0</v>
      </c>
      <c r="E55" s="233" t="e">
        <f>D55/$D$77</f>
        <v>#DIV/0!</v>
      </c>
      <c r="F55" s="110"/>
      <c r="G55" s="110">
        <f>F55</f>
        <v>0</v>
      </c>
      <c r="H55" s="110"/>
      <c r="I55" s="110">
        <f>H55+G55</f>
        <v>0</v>
      </c>
      <c r="J55" s="110"/>
      <c r="K55" s="110">
        <f>J55+I55</f>
        <v>0</v>
      </c>
      <c r="L55" s="110"/>
      <c r="M55" s="110">
        <f>L55+K55</f>
        <v>0</v>
      </c>
      <c r="N55" s="110"/>
      <c r="O55" s="110">
        <f>N55+M55</f>
        <v>0</v>
      </c>
      <c r="P55" s="110"/>
      <c r="Q55" s="110">
        <f>P55+O55</f>
        <v>0</v>
      </c>
    </row>
    <row r="56" spans="1:17" ht="19.899999999999999" customHeight="1">
      <c r="B56" s="108">
        <f t="shared" ref="B56:B74" si="8">B14</f>
        <v>2</v>
      </c>
      <c r="C56" s="101" t="str">
        <f t="shared" ref="C56:D74" si="9">C14</f>
        <v>ADMINISTRAÇÃO DE OBRA</v>
      </c>
      <c r="D56" s="102">
        <f t="shared" si="9"/>
        <v>0</v>
      </c>
      <c r="E56" s="233" t="e">
        <f t="shared" ref="E56:E74" si="10">D56/$D$77</f>
        <v>#DIV/0!</v>
      </c>
      <c r="F56" s="110"/>
      <c r="G56" s="110">
        <f t="shared" ref="G56:G74" si="11">F56</f>
        <v>0</v>
      </c>
      <c r="H56" s="110"/>
      <c r="I56" s="110">
        <f t="shared" ref="I56:I74" si="12">H56+G56</f>
        <v>0</v>
      </c>
      <c r="J56" s="110"/>
      <c r="K56" s="110">
        <f t="shared" ref="K56:K74" si="13">J56+I56</f>
        <v>0</v>
      </c>
      <c r="L56" s="110"/>
      <c r="M56" s="110">
        <f t="shared" ref="M56:M74" si="14">L56+K56</f>
        <v>0</v>
      </c>
      <c r="N56" s="110"/>
      <c r="O56" s="110">
        <f t="shared" ref="O56:O74" si="15">N56+M56</f>
        <v>0</v>
      </c>
      <c r="P56" s="110"/>
      <c r="Q56" s="110">
        <f t="shared" ref="Q56:Q74" si="16">P56+O56</f>
        <v>0</v>
      </c>
    </row>
    <row r="57" spans="1:17" ht="19.899999999999999" customHeight="1">
      <c r="B57" s="108">
        <f t="shared" si="8"/>
        <v>3</v>
      </c>
      <c r="C57" s="101" t="str">
        <f t="shared" si="9"/>
        <v>DEMOLIÇÕES E RETIRADAS</v>
      </c>
      <c r="D57" s="102">
        <f t="shared" si="9"/>
        <v>0</v>
      </c>
      <c r="E57" s="233" t="e">
        <f t="shared" si="10"/>
        <v>#DIV/0!</v>
      </c>
      <c r="F57" s="110"/>
      <c r="G57" s="110">
        <f t="shared" si="11"/>
        <v>0</v>
      </c>
      <c r="H57" s="110"/>
      <c r="I57" s="110">
        <f t="shared" si="12"/>
        <v>0</v>
      </c>
      <c r="J57" s="110"/>
      <c r="K57" s="110">
        <f t="shared" si="13"/>
        <v>0</v>
      </c>
      <c r="L57" s="110"/>
      <c r="M57" s="110">
        <f t="shared" si="14"/>
        <v>0</v>
      </c>
      <c r="N57" s="110"/>
      <c r="O57" s="110">
        <f t="shared" si="15"/>
        <v>0</v>
      </c>
      <c r="P57" s="110"/>
      <c r="Q57" s="110">
        <f t="shared" si="16"/>
        <v>0</v>
      </c>
    </row>
    <row r="58" spans="1:17" ht="19.899999999999999" customHeight="1">
      <c r="B58" s="108">
        <f t="shared" si="8"/>
        <v>4</v>
      </c>
      <c r="C58" s="101" t="str">
        <f t="shared" si="9"/>
        <v>FUNDAÇÕES</v>
      </c>
      <c r="D58" s="102">
        <f t="shared" si="9"/>
        <v>0</v>
      </c>
      <c r="E58" s="233" t="e">
        <f t="shared" si="10"/>
        <v>#DIV/0!</v>
      </c>
      <c r="F58" s="110"/>
      <c r="G58" s="110">
        <f t="shared" si="11"/>
        <v>0</v>
      </c>
      <c r="H58" s="110"/>
      <c r="I58" s="110">
        <f t="shared" si="12"/>
        <v>0</v>
      </c>
      <c r="J58" s="110"/>
      <c r="K58" s="110">
        <f t="shared" si="13"/>
        <v>0</v>
      </c>
      <c r="L58" s="110"/>
      <c r="M58" s="110">
        <f t="shared" si="14"/>
        <v>0</v>
      </c>
      <c r="N58" s="110"/>
      <c r="O58" s="110">
        <f t="shared" si="15"/>
        <v>0</v>
      </c>
      <c r="P58" s="110"/>
      <c r="Q58" s="110">
        <f t="shared" si="16"/>
        <v>0</v>
      </c>
    </row>
    <row r="59" spans="1:17" ht="19.899999999999999" customHeight="1">
      <c r="B59" s="108">
        <f t="shared" si="8"/>
        <v>5</v>
      </c>
      <c r="C59" s="101" t="str">
        <f t="shared" si="9"/>
        <v>SUPERESTRUTURA</v>
      </c>
      <c r="D59" s="102">
        <f t="shared" si="9"/>
        <v>0</v>
      </c>
      <c r="E59" s="233" t="e">
        <f t="shared" si="10"/>
        <v>#DIV/0!</v>
      </c>
      <c r="F59" s="110"/>
      <c r="G59" s="110">
        <f t="shared" si="11"/>
        <v>0</v>
      </c>
      <c r="H59" s="110"/>
      <c r="I59" s="110">
        <f t="shared" si="12"/>
        <v>0</v>
      </c>
      <c r="J59" s="110"/>
      <c r="K59" s="110">
        <f t="shared" si="13"/>
        <v>0</v>
      </c>
      <c r="L59" s="110"/>
      <c r="M59" s="110">
        <f t="shared" si="14"/>
        <v>0</v>
      </c>
      <c r="N59" s="110"/>
      <c r="O59" s="110">
        <f t="shared" si="15"/>
        <v>0</v>
      </c>
      <c r="P59" s="110"/>
      <c r="Q59" s="110">
        <f t="shared" si="16"/>
        <v>0</v>
      </c>
    </row>
    <row r="60" spans="1:17" ht="19.899999999999999" customHeight="1">
      <c r="B60" s="108">
        <f t="shared" si="8"/>
        <v>6</v>
      </c>
      <c r="C60" s="101" t="str">
        <f t="shared" si="9"/>
        <v>COBERTURAS</v>
      </c>
      <c r="D60" s="102">
        <f t="shared" si="9"/>
        <v>0</v>
      </c>
      <c r="E60" s="233" t="e">
        <f t="shared" si="10"/>
        <v>#DIV/0!</v>
      </c>
      <c r="F60" s="110"/>
      <c r="G60" s="110">
        <f t="shared" si="11"/>
        <v>0</v>
      </c>
      <c r="H60" s="110"/>
      <c r="I60" s="110">
        <f t="shared" si="12"/>
        <v>0</v>
      </c>
      <c r="J60" s="110"/>
      <c r="K60" s="110">
        <f t="shared" si="13"/>
        <v>0</v>
      </c>
      <c r="L60" s="110"/>
      <c r="M60" s="110">
        <f t="shared" si="14"/>
        <v>0</v>
      </c>
      <c r="N60" s="110"/>
      <c r="O60" s="110">
        <f t="shared" si="15"/>
        <v>0</v>
      </c>
      <c r="P60" s="110"/>
      <c r="Q60" s="110">
        <f t="shared" si="16"/>
        <v>0</v>
      </c>
    </row>
    <row r="61" spans="1:17" ht="19.899999999999999" customHeight="1">
      <c r="B61" s="108">
        <f t="shared" si="8"/>
        <v>7</v>
      </c>
      <c r="C61" s="101" t="str">
        <f t="shared" si="9"/>
        <v>PISOS</v>
      </c>
      <c r="D61" s="102">
        <f t="shared" si="9"/>
        <v>0</v>
      </c>
      <c r="E61" s="233" t="e">
        <f t="shared" si="10"/>
        <v>#DIV/0!</v>
      </c>
      <c r="F61" s="110"/>
      <c r="G61" s="110">
        <f t="shared" si="11"/>
        <v>0</v>
      </c>
      <c r="H61" s="110"/>
      <c r="I61" s="110">
        <f t="shared" si="12"/>
        <v>0</v>
      </c>
      <c r="J61" s="110"/>
      <c r="K61" s="110">
        <f t="shared" si="13"/>
        <v>0</v>
      </c>
      <c r="L61" s="110"/>
      <c r="M61" s="110">
        <f t="shared" si="14"/>
        <v>0</v>
      </c>
      <c r="N61" s="110"/>
      <c r="O61" s="110">
        <f t="shared" si="15"/>
        <v>0</v>
      </c>
      <c r="P61" s="110"/>
      <c r="Q61" s="110">
        <f t="shared" si="16"/>
        <v>0</v>
      </c>
    </row>
    <row r="62" spans="1:17" ht="19.899999999999999" customHeight="1">
      <c r="B62" s="108">
        <f t="shared" si="8"/>
        <v>8</v>
      </c>
      <c r="C62" s="101" t="str">
        <f t="shared" si="9"/>
        <v>ACABAMENTOS</v>
      </c>
      <c r="D62" s="102">
        <f t="shared" si="9"/>
        <v>0</v>
      </c>
      <c r="E62" s="233" t="e">
        <f t="shared" si="10"/>
        <v>#DIV/0!</v>
      </c>
      <c r="F62" s="110"/>
      <c r="G62" s="110">
        <f t="shared" si="11"/>
        <v>0</v>
      </c>
      <c r="H62" s="110"/>
      <c r="I62" s="110">
        <f t="shared" si="12"/>
        <v>0</v>
      </c>
      <c r="J62" s="110"/>
      <c r="K62" s="110">
        <f t="shared" si="13"/>
        <v>0</v>
      </c>
      <c r="L62" s="110"/>
      <c r="M62" s="110">
        <f t="shared" si="14"/>
        <v>0</v>
      </c>
      <c r="N62" s="110"/>
      <c r="O62" s="110">
        <f t="shared" si="15"/>
        <v>0</v>
      </c>
      <c r="P62" s="110"/>
      <c r="Q62" s="110">
        <f t="shared" si="16"/>
        <v>0</v>
      </c>
    </row>
    <row r="63" spans="1:17" ht="19.899999999999999" customHeight="1">
      <c r="B63" s="108">
        <f t="shared" si="8"/>
        <v>9</v>
      </c>
      <c r="C63" s="101" t="str">
        <f t="shared" si="9"/>
        <v>PAREDES</v>
      </c>
      <c r="D63" s="102">
        <f t="shared" si="9"/>
        <v>0</v>
      </c>
      <c r="E63" s="233" t="e">
        <f t="shared" si="10"/>
        <v>#DIV/0!</v>
      </c>
      <c r="F63" s="110"/>
      <c r="G63" s="110">
        <f t="shared" si="11"/>
        <v>0</v>
      </c>
      <c r="H63" s="110"/>
      <c r="I63" s="110">
        <f t="shared" si="12"/>
        <v>0</v>
      </c>
      <c r="J63" s="110"/>
      <c r="K63" s="110">
        <f t="shared" si="13"/>
        <v>0</v>
      </c>
      <c r="L63" s="110"/>
      <c r="M63" s="110">
        <f t="shared" si="14"/>
        <v>0</v>
      </c>
      <c r="N63" s="110"/>
      <c r="O63" s="110">
        <f t="shared" si="15"/>
        <v>0</v>
      </c>
      <c r="P63" s="110"/>
      <c r="Q63" s="110">
        <f t="shared" si="16"/>
        <v>0</v>
      </c>
    </row>
    <row r="64" spans="1:17" ht="19.899999999999999" customHeight="1">
      <c r="B64" s="108">
        <f t="shared" si="8"/>
        <v>10</v>
      </c>
      <c r="C64" s="101" t="str">
        <f t="shared" si="9"/>
        <v>REVESTIMENTOS</v>
      </c>
      <c r="D64" s="102">
        <f t="shared" si="9"/>
        <v>0</v>
      </c>
      <c r="E64" s="233" t="e">
        <f t="shared" si="10"/>
        <v>#DIV/0!</v>
      </c>
      <c r="F64" s="110"/>
      <c r="G64" s="110">
        <f t="shared" si="11"/>
        <v>0</v>
      </c>
      <c r="H64" s="110"/>
      <c r="I64" s="110">
        <f t="shared" si="12"/>
        <v>0</v>
      </c>
      <c r="J64" s="110"/>
      <c r="K64" s="110">
        <f t="shared" si="13"/>
        <v>0</v>
      </c>
      <c r="L64" s="110"/>
      <c r="M64" s="110">
        <f t="shared" si="14"/>
        <v>0</v>
      </c>
      <c r="N64" s="110"/>
      <c r="O64" s="110">
        <f t="shared" si="15"/>
        <v>0</v>
      </c>
      <c r="P64" s="110"/>
      <c r="Q64" s="110">
        <f t="shared" si="16"/>
        <v>0</v>
      </c>
    </row>
    <row r="65" spans="2:17" ht="19.899999999999999" customHeight="1">
      <c r="B65" s="108">
        <f t="shared" si="8"/>
        <v>11</v>
      </c>
      <c r="C65" s="101" t="str">
        <f t="shared" si="9"/>
        <v>PINTURA INTERNA</v>
      </c>
      <c r="D65" s="102">
        <f t="shared" si="9"/>
        <v>0</v>
      </c>
      <c r="E65" s="233" t="e">
        <f t="shared" si="10"/>
        <v>#DIV/0!</v>
      </c>
      <c r="F65" s="110"/>
      <c r="G65" s="110">
        <f t="shared" si="11"/>
        <v>0</v>
      </c>
      <c r="H65" s="110"/>
      <c r="I65" s="110">
        <f t="shared" si="12"/>
        <v>0</v>
      </c>
      <c r="J65" s="110"/>
      <c r="K65" s="110">
        <f t="shared" si="13"/>
        <v>0</v>
      </c>
      <c r="L65" s="110"/>
      <c r="M65" s="110">
        <f t="shared" si="14"/>
        <v>0</v>
      </c>
      <c r="N65" s="110"/>
      <c r="O65" s="110">
        <f t="shared" si="15"/>
        <v>0</v>
      </c>
      <c r="P65" s="110"/>
      <c r="Q65" s="110">
        <f t="shared" si="16"/>
        <v>0</v>
      </c>
    </row>
    <row r="66" spans="2:17" ht="19.899999999999999" customHeight="1">
      <c r="B66" s="108">
        <f t="shared" si="8"/>
        <v>12</v>
      </c>
      <c r="C66" s="101" t="str">
        <f t="shared" si="9"/>
        <v>PINTURA EXTERNA</v>
      </c>
      <c r="D66" s="102">
        <f t="shared" si="9"/>
        <v>0</v>
      </c>
      <c r="E66" s="233" t="e">
        <f t="shared" si="10"/>
        <v>#DIV/0!</v>
      </c>
      <c r="F66" s="110"/>
      <c r="G66" s="110">
        <f t="shared" si="11"/>
        <v>0</v>
      </c>
      <c r="H66" s="110"/>
      <c r="I66" s="110">
        <f t="shared" si="12"/>
        <v>0</v>
      </c>
      <c r="J66" s="110"/>
      <c r="K66" s="110">
        <f t="shared" si="13"/>
        <v>0</v>
      </c>
      <c r="L66" s="110"/>
      <c r="M66" s="110">
        <f t="shared" si="14"/>
        <v>0</v>
      </c>
      <c r="N66" s="110"/>
      <c r="O66" s="110">
        <f t="shared" si="15"/>
        <v>0</v>
      </c>
      <c r="P66" s="110"/>
      <c r="Q66" s="110">
        <f t="shared" si="16"/>
        <v>0</v>
      </c>
    </row>
    <row r="67" spans="2:17" ht="19.899999999999999" customHeight="1">
      <c r="B67" s="108">
        <f t="shared" si="8"/>
        <v>13</v>
      </c>
      <c r="C67" s="101" t="str">
        <f t="shared" si="9"/>
        <v>ESQUADRIAS E FERRAGENS</v>
      </c>
      <c r="D67" s="102">
        <f t="shared" si="9"/>
        <v>0</v>
      </c>
      <c r="E67" s="233" t="e">
        <f t="shared" si="10"/>
        <v>#DIV/0!</v>
      </c>
      <c r="F67" s="110"/>
      <c r="G67" s="110">
        <f t="shared" si="11"/>
        <v>0</v>
      </c>
      <c r="H67" s="110"/>
      <c r="I67" s="110">
        <f t="shared" si="12"/>
        <v>0</v>
      </c>
      <c r="J67" s="110"/>
      <c r="K67" s="110">
        <f t="shared" si="13"/>
        <v>0</v>
      </c>
      <c r="L67" s="110"/>
      <c r="M67" s="110">
        <f t="shared" si="14"/>
        <v>0</v>
      </c>
      <c r="N67" s="110"/>
      <c r="O67" s="110">
        <f t="shared" si="15"/>
        <v>0</v>
      </c>
      <c r="P67" s="110"/>
      <c r="Q67" s="110">
        <f t="shared" si="16"/>
        <v>0</v>
      </c>
    </row>
    <row r="68" spans="2:17" ht="19.899999999999999" customHeight="1">
      <c r="B68" s="108">
        <f t="shared" si="8"/>
        <v>14</v>
      </c>
      <c r="C68" s="101" t="str">
        <f t="shared" si="9"/>
        <v>FORROS</v>
      </c>
      <c r="D68" s="102">
        <f t="shared" si="9"/>
        <v>0</v>
      </c>
      <c r="E68" s="233" t="e">
        <f t="shared" si="10"/>
        <v>#DIV/0!</v>
      </c>
      <c r="F68" s="110"/>
      <c r="G68" s="110">
        <f t="shared" si="11"/>
        <v>0</v>
      </c>
      <c r="H68" s="110"/>
      <c r="I68" s="110">
        <f t="shared" si="12"/>
        <v>0</v>
      </c>
      <c r="J68" s="110"/>
      <c r="K68" s="110">
        <f t="shared" si="13"/>
        <v>0</v>
      </c>
      <c r="L68" s="110"/>
      <c r="M68" s="110">
        <f t="shared" si="14"/>
        <v>0</v>
      </c>
      <c r="N68" s="110"/>
      <c r="O68" s="110">
        <f t="shared" si="15"/>
        <v>0</v>
      </c>
      <c r="P68" s="110"/>
      <c r="Q68" s="110">
        <f t="shared" si="16"/>
        <v>0</v>
      </c>
    </row>
    <row r="69" spans="2:17" ht="19.899999999999999" customHeight="1">
      <c r="B69" s="108">
        <f t="shared" si="8"/>
        <v>15</v>
      </c>
      <c r="C69" s="101" t="str">
        <f t="shared" si="9"/>
        <v>INSTALAÇÕES HIDRÁULICAS</v>
      </c>
      <c r="D69" s="102">
        <f t="shared" si="9"/>
        <v>0</v>
      </c>
      <c r="E69" s="233" t="e">
        <f t="shared" si="10"/>
        <v>#DIV/0!</v>
      </c>
      <c r="F69" s="110"/>
      <c r="G69" s="110">
        <f t="shared" si="11"/>
        <v>0</v>
      </c>
      <c r="H69" s="110"/>
      <c r="I69" s="110">
        <f t="shared" si="12"/>
        <v>0</v>
      </c>
      <c r="J69" s="110"/>
      <c r="K69" s="110">
        <f t="shared" si="13"/>
        <v>0</v>
      </c>
      <c r="L69" s="110"/>
      <c r="M69" s="110">
        <f t="shared" si="14"/>
        <v>0</v>
      </c>
      <c r="N69" s="110"/>
      <c r="O69" s="110">
        <f t="shared" si="15"/>
        <v>0</v>
      </c>
      <c r="P69" s="110"/>
      <c r="Q69" s="110">
        <f t="shared" si="16"/>
        <v>0</v>
      </c>
    </row>
    <row r="70" spans="2:17" ht="25.5" customHeight="1">
      <c r="B70" s="108">
        <f t="shared" si="8"/>
        <v>16</v>
      </c>
      <c r="C70" s="101" t="str">
        <f t="shared" si="9"/>
        <v>INSTALAÇÕES SANITÁRIAS / PLUVIAL</v>
      </c>
      <c r="D70" s="102">
        <f t="shared" si="9"/>
        <v>0</v>
      </c>
      <c r="E70" s="233" t="e">
        <f t="shared" si="10"/>
        <v>#DIV/0!</v>
      </c>
      <c r="F70" s="110"/>
      <c r="G70" s="110">
        <f t="shared" si="11"/>
        <v>0</v>
      </c>
      <c r="H70" s="110"/>
      <c r="I70" s="110">
        <f t="shared" si="12"/>
        <v>0</v>
      </c>
      <c r="J70" s="110"/>
      <c r="K70" s="110">
        <f t="shared" si="13"/>
        <v>0</v>
      </c>
      <c r="L70" s="110"/>
      <c r="M70" s="110">
        <f t="shared" si="14"/>
        <v>0</v>
      </c>
      <c r="N70" s="110"/>
      <c r="O70" s="110">
        <f t="shared" si="15"/>
        <v>0</v>
      </c>
      <c r="P70" s="110"/>
      <c r="Q70" s="110">
        <f t="shared" si="16"/>
        <v>0</v>
      </c>
    </row>
    <row r="71" spans="2:17" ht="19.899999999999999" customHeight="1">
      <c r="B71" s="108">
        <f t="shared" si="8"/>
        <v>17</v>
      </c>
      <c r="C71" s="101" t="str">
        <f t="shared" si="9"/>
        <v>BANCADAS, LOUÇAS E METAIS</v>
      </c>
      <c r="D71" s="102">
        <f t="shared" si="9"/>
        <v>0</v>
      </c>
      <c r="E71" s="233" t="e">
        <f t="shared" si="10"/>
        <v>#DIV/0!</v>
      </c>
      <c r="F71" s="110"/>
      <c r="G71" s="110">
        <f t="shared" si="11"/>
        <v>0</v>
      </c>
      <c r="H71" s="110"/>
      <c r="I71" s="110">
        <f t="shared" si="12"/>
        <v>0</v>
      </c>
      <c r="J71" s="110"/>
      <c r="K71" s="110">
        <f t="shared" si="13"/>
        <v>0</v>
      </c>
      <c r="L71" s="110"/>
      <c r="M71" s="110">
        <f t="shared" si="14"/>
        <v>0</v>
      </c>
      <c r="N71" s="110"/>
      <c r="O71" s="110">
        <f t="shared" si="15"/>
        <v>0</v>
      </c>
      <c r="P71" s="110"/>
      <c r="Q71" s="110">
        <f t="shared" si="16"/>
        <v>0</v>
      </c>
    </row>
    <row r="72" spans="2:17" ht="19.899999999999999" customHeight="1">
      <c r="B72" s="108">
        <f t="shared" si="8"/>
        <v>18</v>
      </c>
      <c r="C72" s="101" t="str">
        <f t="shared" si="9"/>
        <v>INSTALAÇÕES ELÉTRICAS</v>
      </c>
      <c r="D72" s="102">
        <f t="shared" si="9"/>
        <v>0</v>
      </c>
      <c r="E72" s="233" t="e">
        <f t="shared" si="10"/>
        <v>#DIV/0!</v>
      </c>
      <c r="F72" s="110"/>
      <c r="G72" s="110">
        <f t="shared" si="11"/>
        <v>0</v>
      </c>
      <c r="H72" s="110"/>
      <c r="I72" s="110">
        <f t="shared" si="12"/>
        <v>0</v>
      </c>
      <c r="J72" s="110"/>
      <c r="K72" s="110">
        <f t="shared" si="13"/>
        <v>0</v>
      </c>
      <c r="L72" s="110"/>
      <c r="M72" s="110">
        <f t="shared" si="14"/>
        <v>0</v>
      </c>
      <c r="N72" s="110"/>
      <c r="O72" s="110">
        <f t="shared" si="15"/>
        <v>0</v>
      </c>
      <c r="P72" s="110"/>
      <c r="Q72" s="110">
        <f t="shared" si="16"/>
        <v>0</v>
      </c>
    </row>
    <row r="73" spans="2:17" ht="30.75" customHeight="1">
      <c r="B73" s="108">
        <f t="shared" si="8"/>
        <v>19</v>
      </c>
      <c r="C73" s="101" t="str">
        <f t="shared" si="9"/>
        <v>INSTALAÇÕES DE COMBATE A INCÊNDIO E PÂNICO</v>
      </c>
      <c r="D73" s="102">
        <f t="shared" si="9"/>
        <v>0</v>
      </c>
      <c r="E73" s="233" t="e">
        <f t="shared" si="10"/>
        <v>#DIV/0!</v>
      </c>
      <c r="F73" s="110"/>
      <c r="G73" s="110">
        <f t="shared" si="11"/>
        <v>0</v>
      </c>
      <c r="H73" s="110"/>
      <c r="I73" s="110">
        <f t="shared" si="12"/>
        <v>0</v>
      </c>
      <c r="J73" s="110"/>
      <c r="K73" s="110">
        <f t="shared" si="13"/>
        <v>0</v>
      </c>
      <c r="L73" s="110"/>
      <c r="M73" s="110">
        <f t="shared" si="14"/>
        <v>0</v>
      </c>
      <c r="N73" s="110"/>
      <c r="O73" s="110">
        <f t="shared" si="15"/>
        <v>0</v>
      </c>
      <c r="P73" s="110"/>
      <c r="Q73" s="110">
        <f t="shared" si="16"/>
        <v>0</v>
      </c>
    </row>
    <row r="74" spans="2:17" ht="29.25" customHeight="1">
      <c r="B74" s="108">
        <f t="shared" si="8"/>
        <v>20</v>
      </c>
      <c r="C74" s="101" t="str">
        <f t="shared" si="9"/>
        <v>INSTALAÇÕES AR CONDICIONADO / EXAUSTÃO</v>
      </c>
      <c r="D74" s="102">
        <f t="shared" si="9"/>
        <v>0</v>
      </c>
      <c r="E74" s="233" t="e">
        <f t="shared" si="10"/>
        <v>#DIV/0!</v>
      </c>
      <c r="F74" s="110"/>
      <c r="G74" s="110">
        <f t="shared" si="11"/>
        <v>0</v>
      </c>
      <c r="H74" s="110"/>
      <c r="I74" s="110">
        <f t="shared" si="12"/>
        <v>0</v>
      </c>
      <c r="J74" s="110"/>
      <c r="K74" s="110">
        <f t="shared" si="13"/>
        <v>0</v>
      </c>
      <c r="L74" s="110"/>
      <c r="M74" s="110">
        <f t="shared" si="14"/>
        <v>0</v>
      </c>
      <c r="N74" s="110"/>
      <c r="O74" s="110">
        <f t="shared" si="15"/>
        <v>0</v>
      </c>
      <c r="P74" s="110"/>
      <c r="Q74" s="110">
        <f t="shared" si="16"/>
        <v>0</v>
      </c>
    </row>
    <row r="75" spans="2:17" ht="15.75" thickBot="1">
      <c r="B75" s="51"/>
      <c r="C75" s="24"/>
      <c r="D75" s="52"/>
      <c r="E75" s="25"/>
    </row>
    <row r="76" spans="2:17" ht="15.75" thickBot="1">
      <c r="B76" s="382" t="s">
        <v>36</v>
      </c>
      <c r="C76" s="383"/>
      <c r="D76" s="26"/>
      <c r="E76" s="41" t="e">
        <f>SUM(E55:E74)</f>
        <v>#DIV/0!</v>
      </c>
      <c r="F76" s="42">
        <f>IF(SUM(F55:F74)=0,0,SUMPRODUCT(E55:E74,F55:F74))</f>
        <v>0</v>
      </c>
      <c r="G76" s="43" t="e">
        <f>F76+Q34</f>
        <v>#DIV/0!</v>
      </c>
      <c r="H76" s="42">
        <f>IF(SUM(H55:H74)=0,0,SUMPRODUCT(E55:E74,H55:H74))</f>
        <v>0</v>
      </c>
      <c r="I76" s="43" t="e">
        <f>H76+G76</f>
        <v>#DIV/0!</v>
      </c>
      <c r="J76" s="42">
        <f>IF(SUM(J55:J74)=0,0,SUMPRODUCT(E55:E74,J55:J74))</f>
        <v>0</v>
      </c>
      <c r="K76" s="43" t="e">
        <f>J76+I76</f>
        <v>#DIV/0!</v>
      </c>
      <c r="L76" s="42">
        <f>IF(SUM(L55:L74)=0,0,SUMPRODUCT(E55:E74,L55:L74))</f>
        <v>0</v>
      </c>
      <c r="M76" s="43" t="e">
        <f>L76+K76</f>
        <v>#DIV/0!</v>
      </c>
      <c r="N76" s="42">
        <f>IF(SUM(N55:N74)=0,0,SUMPRODUCT(E55:E74,N55:N74))</f>
        <v>0</v>
      </c>
      <c r="O76" s="43" t="e">
        <f>N76+M76</f>
        <v>#DIV/0!</v>
      </c>
      <c r="P76" s="42">
        <f>IF(SUM(P55:P74)=0,0,SUMPRODUCT(E55:E74,P55:P74))</f>
        <v>0</v>
      </c>
      <c r="Q76" s="43" t="e">
        <f>P76+O76</f>
        <v>#DIV/0!</v>
      </c>
    </row>
    <row r="77" spans="2:17" ht="15.75" thickBot="1">
      <c r="B77" s="384" t="s">
        <v>35</v>
      </c>
      <c r="C77" s="385"/>
      <c r="D77" s="27">
        <f>SUM(D55:D74)</f>
        <v>0</v>
      </c>
      <c r="E77" s="44"/>
      <c r="F77" s="45">
        <f>IF(SUM(F55:F74)=0,0,SUMPRODUCT($D$13:$D$32,F55:F74)/100)</f>
        <v>0</v>
      </c>
      <c r="G77" s="46">
        <f>F77+Q35</f>
        <v>0</v>
      </c>
      <c r="H77" s="45">
        <f>IF(SUM(H55:H74)=0,0,SUMPRODUCT($D$13:$D$32,H55:H74)/100)</f>
        <v>0</v>
      </c>
      <c r="I77" s="46">
        <f>H77+G77</f>
        <v>0</v>
      </c>
      <c r="J77" s="45">
        <f>IF(SUM(J55:J74)=0,0,SUMPRODUCT($D$13:$D$32,J55:J74)/100)</f>
        <v>0</v>
      </c>
      <c r="K77" s="46">
        <f>J77+I77</f>
        <v>0</v>
      </c>
      <c r="L77" s="45">
        <f>IF(SUM(L55:L74)=0,0,SUMPRODUCT($D$13:$D$32,L55:L74)/100)</f>
        <v>0</v>
      </c>
      <c r="M77" s="46">
        <f>L77+K77</f>
        <v>0</v>
      </c>
      <c r="N77" s="45">
        <f>IF(SUM(N55:N74)=0,0,SUMPRODUCT($D$13:$D$32,N55:N74)/100)</f>
        <v>0</v>
      </c>
      <c r="O77" s="46">
        <f>N77+M77</f>
        <v>0</v>
      </c>
      <c r="P77" s="45">
        <f>IF(SUM(P55:P74)=0,0,SUMPRODUCT($D$13:$D$32,P55:P74)/100)</f>
        <v>0</v>
      </c>
      <c r="Q77" s="46">
        <f>P77+O77</f>
        <v>0</v>
      </c>
    </row>
    <row r="78" spans="2:17" ht="40.9" customHeight="1">
      <c r="B78" s="47"/>
      <c r="C78" s="47"/>
      <c r="D78" s="48"/>
      <c r="E78" s="48"/>
      <c r="H78" s="113"/>
      <c r="I78" s="113"/>
      <c r="J78" s="113"/>
      <c r="K78" s="113"/>
    </row>
    <row r="79" spans="2:17" ht="11.25" customHeight="1">
      <c r="B79" s="47"/>
      <c r="C79" s="47"/>
      <c r="D79" s="48"/>
      <c r="E79" s="48"/>
      <c r="N79" s="408" t="s">
        <v>87</v>
      </c>
      <c r="O79" s="408"/>
      <c r="P79" s="408"/>
      <c r="Q79" s="408"/>
    </row>
    <row r="80" spans="2:17" ht="12" customHeight="1">
      <c r="B80" s="49"/>
      <c r="C80" s="49"/>
      <c r="D80" s="48"/>
      <c r="E80" s="48"/>
      <c r="H80" s="409"/>
      <c r="I80" s="409"/>
      <c r="J80" s="409"/>
      <c r="K80" s="409"/>
      <c r="N80" s="409" t="s">
        <v>81</v>
      </c>
      <c r="O80" s="409"/>
      <c r="P80" s="409"/>
      <c r="Q80" s="409"/>
    </row>
    <row r="81" spans="2:17" ht="9.75" customHeight="1">
      <c r="B81" s="49"/>
      <c r="C81" s="49"/>
      <c r="D81" s="48"/>
      <c r="E81" s="48"/>
      <c r="H81" s="375"/>
      <c r="I81" s="376"/>
      <c r="J81" s="376"/>
      <c r="K81" s="376"/>
      <c r="N81" s="375" t="s">
        <v>97</v>
      </c>
      <c r="O81" s="376"/>
      <c r="P81" s="376"/>
      <c r="Q81" s="376"/>
    </row>
  </sheetData>
  <mergeCells count="55">
    <mergeCell ref="H81:K81"/>
    <mergeCell ref="N81:Q81"/>
    <mergeCell ref="B76:C76"/>
    <mergeCell ref="B77:C77"/>
    <mergeCell ref="N79:Q79"/>
    <mergeCell ref="H80:K80"/>
    <mergeCell ref="N80:Q80"/>
    <mergeCell ref="L52:M52"/>
    <mergeCell ref="N52:O52"/>
    <mergeCell ref="P52:Q52"/>
    <mergeCell ref="B49:E49"/>
    <mergeCell ref="F49:J49"/>
    <mergeCell ref="B50:G50"/>
    <mergeCell ref="H50:K50"/>
    <mergeCell ref="B52:B53"/>
    <mergeCell ref="C52:C53"/>
    <mergeCell ref="D52:D53"/>
    <mergeCell ref="E52:E53"/>
    <mergeCell ref="F52:G52"/>
    <mergeCell ref="H52:I52"/>
    <mergeCell ref="J52:K52"/>
    <mergeCell ref="C44:K44"/>
    <mergeCell ref="B46:K46"/>
    <mergeCell ref="B47:E47"/>
    <mergeCell ref="F47:J47"/>
    <mergeCell ref="B48:G48"/>
    <mergeCell ref="H48:K48"/>
    <mergeCell ref="C2:K2"/>
    <mergeCell ref="B5:E5"/>
    <mergeCell ref="F5:J5"/>
    <mergeCell ref="B4:K4"/>
    <mergeCell ref="H8:K8"/>
    <mergeCell ref="H6:K6"/>
    <mergeCell ref="B6:G6"/>
    <mergeCell ref="B8:G8"/>
    <mergeCell ref="B7:E7"/>
    <mergeCell ref="F7:J7"/>
    <mergeCell ref="B34:C34"/>
    <mergeCell ref="B35:C35"/>
    <mergeCell ref="B10:B11"/>
    <mergeCell ref="J10:K10"/>
    <mergeCell ref="C10:C11"/>
    <mergeCell ref="D10:D11"/>
    <mergeCell ref="E10:E11"/>
    <mergeCell ref="F10:G10"/>
    <mergeCell ref="H10:I10"/>
    <mergeCell ref="H42:K42"/>
    <mergeCell ref="N10:O10"/>
    <mergeCell ref="P10:Q10"/>
    <mergeCell ref="N39:Q39"/>
    <mergeCell ref="N42:Q42"/>
    <mergeCell ref="L10:M10"/>
    <mergeCell ref="F39:I39"/>
    <mergeCell ref="F40:I40"/>
    <mergeCell ref="F41:I41"/>
  </mergeCells>
  <phoneticPr fontId="33" type="noConversion"/>
  <conditionalFormatting sqref="F13:Q32 F55:Q74">
    <cfRule type="cellIs" dxfId="0" priority="8" stopIfTrue="1" operator="greaterThan">
      <formula>100</formula>
    </cfRule>
  </conditionalFormatting>
  <printOptions horizontalCentered="1"/>
  <pageMargins left="0.23622047244094491" right="0.59055118110236227" top="0.43307086614173229" bottom="0.27559055118110237" header="0.31496062992125984" footer="0.31496062992125984"/>
  <pageSetup paperSize="9" scale="60" fitToHeight="2" orientation="landscape" r:id="rId1"/>
  <headerFooter>
    <oddFooter>&amp;R&amp;"Arial,Itálico"&amp;7Página: &amp;P de &amp;N</oddFooter>
  </headerFooter>
  <rowBreaks count="1" manualBreakCount="1">
    <brk id="42" max="16" man="1"/>
  </rowBreaks>
  <ignoredErrors>
    <ignoredError sqref="E34:P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12</vt:i4>
      </vt:variant>
    </vt:vector>
  </HeadingPairs>
  <TitlesOfParts>
    <vt:vector size="19" baseType="lpstr">
      <vt:lpstr>PLAN ORÇAM</vt:lpstr>
      <vt:lpstr>Planilha1</vt:lpstr>
      <vt:lpstr>DADOS CURVA ABC</vt:lpstr>
      <vt:lpstr>PLANILHA CÁLCULO</vt:lpstr>
      <vt:lpstr>COMPOSIÇÕES</vt:lpstr>
      <vt:lpstr>BDI</vt:lpstr>
      <vt:lpstr>CRONOGRAMA</vt:lpstr>
      <vt:lpstr>BDI!Area_de_impressao</vt:lpstr>
      <vt:lpstr>COMPOSIÇÕES!Area_de_impressao</vt:lpstr>
      <vt:lpstr>CRONOGRAMA!Area_de_impressao</vt:lpstr>
      <vt:lpstr>'DADOS CURVA ABC'!Area_de_impressao</vt:lpstr>
      <vt:lpstr>'PLAN ORÇAM'!Area_de_impressao</vt:lpstr>
      <vt:lpstr>'PLANILHA CÁLCULO'!Area_de_impressao</vt:lpstr>
      <vt:lpstr>'PLAN ORÇAM'!BDI</vt:lpstr>
      <vt:lpstr>BDI</vt:lpstr>
      <vt:lpstr>CRONOGRAMA!Titulos_de_impressao</vt:lpstr>
      <vt:lpstr>'DADOS CURVA ABC'!Titulos_de_impressao</vt:lpstr>
      <vt:lpstr>'PLAN ORÇAM'!Titulos_de_impressao</vt:lpstr>
      <vt:lpstr>'PLANILHA CÁLCULO'!Titulos_de_impressao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</dc:creator>
  <cp:lastModifiedBy>João Adolfo do Carmo</cp:lastModifiedBy>
  <cp:lastPrinted>2024-10-11T13:55:37Z</cp:lastPrinted>
  <dcterms:created xsi:type="dcterms:W3CDTF">2017-03-16T13:13:12Z</dcterms:created>
  <dcterms:modified xsi:type="dcterms:W3CDTF">2024-10-23T19:42:39Z</dcterms:modified>
</cp:coreProperties>
</file>